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416"/>
  <workbookPr autoCompressPictures="0"/>
  <bookViews>
    <workbookView xWindow="0" yWindow="0" windowWidth="35540" windowHeight="20800" activeTab="4"/>
  </bookViews>
  <sheets>
    <sheet name="About" sheetId="29" r:id="rId1"/>
    <sheet name="Overview of Policy Options" sheetId="30" r:id="rId2"/>
    <sheet name="Comparison Table" sheetId="27" r:id="rId3"/>
    <sheet name="Interactive Comparison" sheetId="26" r:id="rId4"/>
    <sheet name="Interactive Price Table" sheetId="28" r:id="rId5"/>
    <sheet name="Worksheet" sheetId="25" state="hidden" r:id="rId6"/>
  </sheets>
  <definedNames>
    <definedName name="_xlnm._FilterDatabase" localSheetId="4" hidden="1">'Interactive Price Table'!$B$2:$H$13</definedName>
    <definedName name="_proposals">Worksheet!$A$46:$B$59</definedName>
    <definedName name="eprice">'Interactive Price Table'!$D$34</definedName>
    <definedName name="iprice">'Interactive Price Table'!$D$35</definedName>
    <definedName name="prop1">'Interactive Comparison'!$D$4</definedName>
    <definedName name="prop2">'Interactive Comparison'!$E$4</definedName>
    <definedName name="tprice">'Interactive Price Table'!$D$33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8" i="27" l="1"/>
  <c r="F17" i="27"/>
  <c r="F18" i="27"/>
  <c r="H42" i="28"/>
  <c r="D4" i="28"/>
  <c r="C42" i="28"/>
  <c r="C43" i="28"/>
  <c r="C5" i="28"/>
  <c r="C4" i="28"/>
  <c r="H43" i="28"/>
  <c r="D5" i="28"/>
  <c r="H44" i="28"/>
  <c r="D6" i="28"/>
  <c r="H45" i="28"/>
  <c r="D7" i="28"/>
  <c r="H46" i="28"/>
  <c r="D8" i="28"/>
  <c r="H47" i="28"/>
  <c r="D9" i="28"/>
  <c r="H48" i="28"/>
  <c r="D10" i="28"/>
  <c r="H49" i="28"/>
  <c r="D11" i="28"/>
  <c r="H50" i="28"/>
  <c r="D12" i="28"/>
  <c r="H41" i="28"/>
  <c r="D3" i="28"/>
  <c r="I7" i="25"/>
  <c r="H8" i="25"/>
  <c r="H9" i="25"/>
  <c r="H10" i="25"/>
  <c r="H11" i="25"/>
  <c r="H12" i="25"/>
  <c r="H13" i="25"/>
  <c r="H14" i="25"/>
  <c r="H15" i="25"/>
  <c r="H16" i="25"/>
  <c r="H17" i="25"/>
  <c r="H18" i="25"/>
  <c r="H19" i="25"/>
  <c r="H20" i="25"/>
  <c r="H21" i="25"/>
  <c r="H22" i="25"/>
  <c r="H23" i="25"/>
  <c r="H24" i="25"/>
  <c r="H7" i="25"/>
  <c r="H6" i="25"/>
  <c r="G8" i="25"/>
  <c r="G9" i="25"/>
  <c r="G10" i="25"/>
  <c r="G11" i="25"/>
  <c r="G12" i="25"/>
  <c r="G13" i="25"/>
  <c r="G14" i="25"/>
  <c r="G15" i="25"/>
  <c r="G16" i="25"/>
  <c r="G17" i="25"/>
  <c r="G18" i="25"/>
  <c r="G19" i="25"/>
  <c r="G20" i="25"/>
  <c r="G21" i="25"/>
  <c r="G22" i="25"/>
  <c r="G23" i="25"/>
  <c r="G24" i="25"/>
  <c r="G7" i="25"/>
  <c r="G6" i="25"/>
  <c r="G5" i="25"/>
  <c r="D4" i="25"/>
  <c r="D3" i="25"/>
  <c r="E5" i="25"/>
  <c r="E3" i="25"/>
  <c r="B7" i="25"/>
  <c r="F13" i="27"/>
  <c r="F12" i="27"/>
  <c r="H10" i="28"/>
  <c r="G10" i="28"/>
  <c r="H9" i="28"/>
  <c r="G9" i="28"/>
  <c r="H5" i="28"/>
  <c r="G5" i="28"/>
  <c r="H4" i="28"/>
  <c r="G4" i="28"/>
  <c r="C10" i="28"/>
  <c r="E10" i="28"/>
  <c r="F10" i="28"/>
  <c r="C9" i="28"/>
  <c r="E9" i="28"/>
  <c r="F9" i="28"/>
  <c r="F20" i="27"/>
  <c r="E5" i="28"/>
  <c r="F5" i="28"/>
  <c r="E4" i="28"/>
  <c r="F4" i="28"/>
  <c r="E18" i="27"/>
  <c r="E17" i="27"/>
  <c r="L8" i="25"/>
  <c r="L9" i="25"/>
  <c r="L10" i="25"/>
  <c r="L11" i="25"/>
  <c r="L12" i="25"/>
  <c r="L13" i="25"/>
  <c r="L14" i="25"/>
  <c r="L15" i="25"/>
  <c r="L16" i="25"/>
  <c r="L17" i="25"/>
  <c r="L18" i="25"/>
  <c r="L19" i="25"/>
  <c r="L20" i="25"/>
  <c r="L21" i="25"/>
  <c r="L22" i="25"/>
  <c r="L23" i="25"/>
  <c r="L24" i="25"/>
  <c r="L7" i="25"/>
  <c r="E8" i="25"/>
  <c r="E9" i="25"/>
  <c r="E10" i="25"/>
  <c r="E11" i="25"/>
  <c r="E12" i="25"/>
  <c r="E13" i="25"/>
  <c r="E14" i="25"/>
  <c r="E15" i="25"/>
  <c r="E16" i="25"/>
  <c r="E17" i="25"/>
  <c r="E18" i="25"/>
  <c r="E19" i="25"/>
  <c r="E20" i="25"/>
  <c r="E21" i="25"/>
  <c r="E22" i="25"/>
  <c r="E23" i="25"/>
  <c r="E24" i="25"/>
  <c r="E7" i="25"/>
  <c r="C12" i="28"/>
  <c r="C11" i="28"/>
  <c r="C8" i="28"/>
  <c r="C7" i="28"/>
  <c r="C6" i="28"/>
  <c r="C3" i="28"/>
  <c r="B5" i="25"/>
  <c r="B8" i="25"/>
  <c r="C5" i="25"/>
  <c r="C8" i="25"/>
  <c r="D5" i="25"/>
  <c r="D8" i="25"/>
  <c r="B9" i="25"/>
  <c r="C9" i="25"/>
  <c r="D9" i="25"/>
  <c r="B10" i="25"/>
  <c r="C10" i="25"/>
  <c r="D10" i="25"/>
  <c r="B11" i="25"/>
  <c r="C11" i="25"/>
  <c r="D11" i="25"/>
  <c r="B12" i="25"/>
  <c r="C12" i="25"/>
  <c r="D12" i="25"/>
  <c r="B13" i="25"/>
  <c r="C13" i="25"/>
  <c r="D13" i="25"/>
  <c r="B14" i="25"/>
  <c r="C14" i="25"/>
  <c r="D14" i="25"/>
  <c r="B15" i="25"/>
  <c r="C15" i="25"/>
  <c r="D15" i="25"/>
  <c r="B16" i="25"/>
  <c r="C16" i="25"/>
  <c r="D16" i="25"/>
  <c r="B17" i="25"/>
  <c r="C17" i="25"/>
  <c r="D17" i="25"/>
  <c r="B18" i="25"/>
  <c r="C18" i="25"/>
  <c r="D18" i="25"/>
  <c r="B19" i="25"/>
  <c r="C19" i="25"/>
  <c r="D19" i="25"/>
  <c r="B20" i="25"/>
  <c r="C20" i="25"/>
  <c r="D20" i="25"/>
  <c r="B21" i="25"/>
  <c r="C21" i="25"/>
  <c r="D21" i="25"/>
  <c r="B22" i="25"/>
  <c r="C22" i="25"/>
  <c r="D22" i="25"/>
  <c r="B23" i="25"/>
  <c r="C23" i="25"/>
  <c r="D23" i="25"/>
  <c r="B24" i="25"/>
  <c r="C24" i="25"/>
  <c r="D24" i="25"/>
  <c r="F16" i="27"/>
  <c r="F5" i="25"/>
  <c r="F8" i="25"/>
  <c r="H5" i="25"/>
  <c r="F19" i="27"/>
  <c r="I5" i="25"/>
  <c r="I8" i="25"/>
  <c r="J5" i="25"/>
  <c r="J8" i="25"/>
  <c r="F9" i="25"/>
  <c r="I9" i="25"/>
  <c r="J9" i="25"/>
  <c r="F10" i="25"/>
  <c r="I10" i="25"/>
  <c r="J10" i="25"/>
  <c r="F11" i="25"/>
  <c r="I11" i="25"/>
  <c r="J11" i="25"/>
  <c r="F12" i="25"/>
  <c r="I12" i="25"/>
  <c r="J12" i="25"/>
  <c r="F13" i="25"/>
  <c r="I13" i="25"/>
  <c r="J13" i="25"/>
  <c r="F14" i="25"/>
  <c r="I14" i="25"/>
  <c r="J14" i="25"/>
  <c r="F15" i="25"/>
  <c r="I15" i="25"/>
  <c r="J15" i="25"/>
  <c r="F16" i="25"/>
  <c r="I16" i="25"/>
  <c r="J16" i="25"/>
  <c r="F17" i="25"/>
  <c r="I17" i="25"/>
  <c r="J17" i="25"/>
  <c r="F18" i="25"/>
  <c r="I18" i="25"/>
  <c r="J18" i="25"/>
  <c r="F19" i="25"/>
  <c r="I19" i="25"/>
  <c r="J19" i="25"/>
  <c r="F20" i="25"/>
  <c r="I20" i="25"/>
  <c r="J20" i="25"/>
  <c r="F21" i="25"/>
  <c r="I21" i="25"/>
  <c r="J21" i="25"/>
  <c r="F22" i="25"/>
  <c r="I22" i="25"/>
  <c r="J22" i="25"/>
  <c r="F23" i="25"/>
  <c r="I23" i="25"/>
  <c r="J23" i="25"/>
  <c r="F24" i="25"/>
  <c r="I24" i="25"/>
  <c r="J24" i="25"/>
  <c r="K8" i="25"/>
  <c r="L5" i="25"/>
  <c r="K9" i="25"/>
  <c r="K10" i="25"/>
  <c r="K11" i="25"/>
  <c r="K12" i="25"/>
  <c r="K13" i="25"/>
  <c r="K14" i="25"/>
  <c r="K15" i="25"/>
  <c r="K16" i="25"/>
  <c r="K17" i="25"/>
  <c r="K18" i="25"/>
  <c r="K19" i="25"/>
  <c r="K20" i="25"/>
  <c r="K21" i="25"/>
  <c r="K22" i="25"/>
  <c r="K23" i="25"/>
  <c r="K24" i="25"/>
  <c r="K7" i="25"/>
  <c r="J7" i="25"/>
  <c r="F7" i="25"/>
  <c r="D7" i="25"/>
  <c r="C7" i="25"/>
  <c r="L110" i="28"/>
  <c r="E7" i="28"/>
  <c r="F7" i="28"/>
  <c r="E6" i="28"/>
  <c r="F6" i="28"/>
  <c r="H8" i="28"/>
  <c r="H7" i="28"/>
  <c r="H6" i="28"/>
  <c r="G7" i="28"/>
  <c r="G6" i="28"/>
  <c r="J4" i="25"/>
  <c r="I4" i="25"/>
  <c r="H4" i="25"/>
  <c r="G4" i="25"/>
  <c r="F4" i="25"/>
  <c r="J3" i="25"/>
  <c r="I3" i="25"/>
  <c r="H3" i="25"/>
  <c r="G3" i="25"/>
  <c r="F3" i="25"/>
  <c r="E7" i="27"/>
  <c r="C4" i="25"/>
  <c r="C3" i="25"/>
  <c r="E6" i="27"/>
  <c r="B4" i="25"/>
  <c r="B3" i="25"/>
  <c r="G8" i="27"/>
  <c r="G7" i="27"/>
  <c r="G6" i="27"/>
  <c r="G11" i="28"/>
  <c r="H11" i="28"/>
  <c r="G12" i="28"/>
  <c r="H12" i="28"/>
  <c r="G8" i="28"/>
  <c r="H3" i="28"/>
  <c r="G3" i="28"/>
  <c r="E3" i="28"/>
  <c r="F3" i="28"/>
  <c r="K3" i="28"/>
  <c r="AC3" i="28"/>
  <c r="K4" i="28"/>
  <c r="AC4" i="28"/>
  <c r="K5" i="28"/>
  <c r="AC5" i="28"/>
  <c r="K6" i="28"/>
  <c r="AC6" i="28"/>
  <c r="K7" i="28"/>
  <c r="AC7" i="28"/>
  <c r="E8" i="28"/>
  <c r="F8" i="28"/>
  <c r="K8" i="28"/>
  <c r="AC8" i="28"/>
  <c r="K9" i="28"/>
  <c r="AC9" i="28"/>
  <c r="K10" i="28"/>
  <c r="AC10" i="28"/>
  <c r="E11" i="28"/>
  <c r="F11" i="28"/>
  <c r="K11" i="28"/>
  <c r="AC11" i="28"/>
  <c r="E12" i="28"/>
  <c r="F12" i="28"/>
  <c r="K12" i="28"/>
  <c r="AC12" i="28"/>
  <c r="K13" i="28"/>
  <c r="AC13" i="28"/>
  <c r="E25" i="26"/>
  <c r="A48" i="25"/>
  <c r="A49" i="25"/>
  <c r="A52" i="25"/>
  <c r="E4" i="26"/>
  <c r="A59" i="25"/>
  <c r="A55" i="25"/>
  <c r="A46" i="25"/>
  <c r="A56" i="25"/>
  <c r="D4" i="26"/>
  <c r="L4" i="25"/>
  <c r="D26" i="26"/>
  <c r="E26" i="26"/>
  <c r="D27" i="26"/>
  <c r="E27" i="26"/>
  <c r="D25" i="26"/>
  <c r="E6" i="26"/>
  <c r="E7" i="26"/>
  <c r="E8" i="26"/>
  <c r="E9" i="26"/>
  <c r="E10" i="26"/>
  <c r="E11" i="26"/>
  <c r="E12" i="26"/>
  <c r="E13" i="26"/>
  <c r="E14" i="26"/>
  <c r="E15" i="26"/>
  <c r="E16" i="26"/>
  <c r="E17" i="26"/>
  <c r="E18" i="26"/>
  <c r="E19" i="26"/>
  <c r="E20" i="26"/>
  <c r="E21" i="26"/>
  <c r="E22" i="26"/>
  <c r="E23" i="26"/>
  <c r="D6" i="25"/>
  <c r="B6" i="25"/>
  <c r="E5" i="26"/>
  <c r="D6" i="26"/>
  <c r="D7" i="26"/>
  <c r="D8" i="26"/>
  <c r="D9" i="26"/>
  <c r="D10" i="26"/>
  <c r="D11" i="26"/>
  <c r="D12" i="26"/>
  <c r="D13" i="26"/>
  <c r="D14" i="26"/>
  <c r="D15" i="26"/>
  <c r="D16" i="26"/>
  <c r="D17" i="26"/>
  <c r="D18" i="26"/>
  <c r="D19" i="26"/>
  <c r="D20" i="26"/>
  <c r="D21" i="26"/>
  <c r="D22" i="26"/>
  <c r="D23" i="26"/>
  <c r="L6" i="25"/>
  <c r="D5" i="26"/>
  <c r="F26" i="26"/>
  <c r="F27" i="26"/>
  <c r="F25" i="26"/>
  <c r="A58" i="25"/>
  <c r="A57" i="25"/>
  <c r="A54" i="25"/>
  <c r="A53" i="25"/>
  <c r="A51" i="25"/>
  <c r="A50" i="25"/>
  <c r="A47" i="25"/>
  <c r="L13" i="28"/>
  <c r="M13" i="28"/>
  <c r="N13" i="28"/>
  <c r="O13" i="28"/>
  <c r="P13" i="28"/>
  <c r="Q13" i="28"/>
  <c r="R13" i="28"/>
  <c r="S13" i="28"/>
  <c r="T13" i="28"/>
  <c r="U13" i="28"/>
  <c r="V13" i="28"/>
  <c r="W13" i="28"/>
  <c r="X13" i="28"/>
  <c r="Y13" i="28"/>
  <c r="Z13" i="28"/>
  <c r="AA13" i="28"/>
  <c r="AB13" i="28"/>
  <c r="L11" i="28"/>
  <c r="M11" i="28"/>
  <c r="N11" i="28"/>
  <c r="O11" i="28"/>
  <c r="P11" i="28"/>
  <c r="Q11" i="28"/>
  <c r="R11" i="28"/>
  <c r="S11" i="28"/>
  <c r="T11" i="28"/>
  <c r="U11" i="28"/>
  <c r="V11" i="28"/>
  <c r="W11" i="28"/>
  <c r="X11" i="28"/>
  <c r="Y11" i="28"/>
  <c r="Z11" i="28"/>
  <c r="AA11" i="28"/>
  <c r="AB11" i="28"/>
  <c r="L5" i="28"/>
  <c r="M5" i="28"/>
  <c r="N5" i="28"/>
  <c r="O5" i="28"/>
  <c r="P5" i="28"/>
  <c r="Q5" i="28"/>
  <c r="R5" i="28"/>
  <c r="S5" i="28"/>
  <c r="T5" i="28"/>
  <c r="U5" i="28"/>
  <c r="V5" i="28"/>
  <c r="W5" i="28"/>
  <c r="X5" i="28"/>
  <c r="Y5" i="28"/>
  <c r="Z5" i="28"/>
  <c r="AA5" i="28"/>
  <c r="AB5" i="28"/>
  <c r="L8" i="28"/>
  <c r="M8" i="28"/>
  <c r="N8" i="28"/>
  <c r="O8" i="28"/>
  <c r="P8" i="28"/>
  <c r="Q8" i="28"/>
  <c r="R8" i="28"/>
  <c r="S8" i="28"/>
  <c r="T8" i="28"/>
  <c r="U8" i="28"/>
  <c r="V8" i="28"/>
  <c r="W8" i="28"/>
  <c r="X8" i="28"/>
  <c r="Y8" i="28"/>
  <c r="Z8" i="28"/>
  <c r="AA8" i="28"/>
  <c r="AB8" i="28"/>
  <c r="L10" i="28"/>
  <c r="M10" i="28"/>
  <c r="N10" i="28"/>
  <c r="O10" i="28"/>
  <c r="P10" i="28"/>
  <c r="Q10" i="28"/>
  <c r="R10" i="28"/>
  <c r="S10" i="28"/>
  <c r="T10" i="28"/>
  <c r="U10" i="28"/>
  <c r="V10" i="28"/>
  <c r="W10" i="28"/>
  <c r="X10" i="28"/>
  <c r="Y10" i="28"/>
  <c r="Z10" i="28"/>
  <c r="AA10" i="28"/>
  <c r="AB10" i="28"/>
  <c r="L7" i="28"/>
  <c r="M7" i="28"/>
  <c r="N7" i="28"/>
  <c r="O7" i="28"/>
  <c r="P7" i="28"/>
  <c r="Q7" i="28"/>
  <c r="R7" i="28"/>
  <c r="S7" i="28"/>
  <c r="T7" i="28"/>
  <c r="U7" i="28"/>
  <c r="V7" i="28"/>
  <c r="W7" i="28"/>
  <c r="X7" i="28"/>
  <c r="Y7" i="28"/>
  <c r="Z7" i="28"/>
  <c r="AA7" i="28"/>
  <c r="AB7" i="28"/>
  <c r="L4" i="28"/>
  <c r="M4" i="28"/>
  <c r="N4" i="28"/>
  <c r="O4" i="28"/>
  <c r="P4" i="28"/>
  <c r="Q4" i="28"/>
  <c r="R4" i="28"/>
  <c r="S4" i="28"/>
  <c r="T4" i="28"/>
  <c r="U4" i="28"/>
  <c r="V4" i="28"/>
  <c r="W4" i="28"/>
  <c r="X4" i="28"/>
  <c r="Y4" i="28"/>
  <c r="Z4" i="28"/>
  <c r="AA4" i="28"/>
  <c r="AB4" i="28"/>
  <c r="L12" i="28"/>
  <c r="M12" i="28"/>
  <c r="N12" i="28"/>
  <c r="O12" i="28"/>
  <c r="P12" i="28"/>
  <c r="Q12" i="28"/>
  <c r="R12" i="28"/>
  <c r="S12" i="28"/>
  <c r="T12" i="28"/>
  <c r="U12" i="28"/>
  <c r="V12" i="28"/>
  <c r="W12" i="28"/>
  <c r="X12" i="28"/>
  <c r="Y12" i="28"/>
  <c r="Z12" i="28"/>
  <c r="AA12" i="28"/>
  <c r="AB12" i="28"/>
  <c r="L3" i="28"/>
  <c r="M3" i="28"/>
  <c r="N3" i="28"/>
  <c r="O3" i="28"/>
  <c r="P3" i="28"/>
  <c r="Q3" i="28"/>
  <c r="R3" i="28"/>
  <c r="S3" i="28"/>
  <c r="T3" i="28"/>
  <c r="U3" i="28"/>
  <c r="V3" i="28"/>
  <c r="W3" i="28"/>
  <c r="X3" i="28"/>
  <c r="Y3" i="28"/>
  <c r="Z3" i="28"/>
  <c r="AA3" i="28"/>
  <c r="AB3" i="28"/>
  <c r="L9" i="28"/>
  <c r="M9" i="28"/>
  <c r="N9" i="28"/>
  <c r="O9" i="28"/>
  <c r="P9" i="28"/>
  <c r="Q9" i="28"/>
  <c r="R9" i="28"/>
  <c r="S9" i="28"/>
  <c r="T9" i="28"/>
  <c r="U9" i="28"/>
  <c r="V9" i="28"/>
  <c r="W9" i="28"/>
  <c r="X9" i="28"/>
  <c r="Y9" i="28"/>
  <c r="Z9" i="28"/>
  <c r="AA9" i="28"/>
  <c r="AB9" i="28"/>
  <c r="N6" i="28"/>
  <c r="O6" i="28"/>
  <c r="P6" i="28"/>
  <c r="Q6" i="28"/>
  <c r="R6" i="28"/>
  <c r="S6" i="28"/>
  <c r="T6" i="28"/>
  <c r="U6" i="28"/>
  <c r="V6" i="28"/>
  <c r="W6" i="28"/>
  <c r="X6" i="28"/>
  <c r="Y6" i="28"/>
  <c r="Z6" i="28"/>
  <c r="AA6" i="28"/>
  <c r="AB6" i="28"/>
  <c r="M6" i="28"/>
  <c r="L6" i="28"/>
  <c r="K4" i="25"/>
  <c r="F6" i="26"/>
  <c r="F7" i="26"/>
  <c r="F8" i="26"/>
  <c r="F9" i="26"/>
  <c r="F10" i="26"/>
  <c r="F11" i="26"/>
  <c r="F12" i="26"/>
  <c r="F13" i="26"/>
  <c r="F14" i="26"/>
  <c r="F15" i="26"/>
  <c r="F16" i="26"/>
  <c r="F17" i="26"/>
  <c r="F18" i="26"/>
  <c r="F19" i="26"/>
  <c r="F20" i="26"/>
  <c r="F21" i="26"/>
  <c r="F22" i="26"/>
  <c r="F23" i="26"/>
  <c r="F5" i="26"/>
  <c r="J6" i="25"/>
  <c r="I6" i="25"/>
  <c r="F6" i="25"/>
  <c r="C6" i="25"/>
</calcChain>
</file>

<file path=xl/comments1.xml><?xml version="1.0" encoding="utf-8"?>
<comments xmlns="http://schemas.openxmlformats.org/spreadsheetml/2006/main">
  <authors>
    <author>Mark Haggerty</author>
  </authors>
  <commentList>
    <comment ref="D31" authorId="0">
      <text>
        <r>
          <rPr>
            <sz val="9"/>
            <color indexed="81"/>
            <rFont val="Arial"/>
            <family val="2"/>
          </rPr>
          <t xml:space="preserve">Insert net price assumptions for different types of harvests here. The average net price is equal to the mill price less harvest and transportation costs. For example, we estimated the Governor's Task Force assumed average net prices for industiral regeneration sales of $288/mbf, ecological forestry sales of $263/mbf, and thinning salesoft $143/mbf. Management and administrative costs are paid from net receipts. By comparison, current receipts are much lower and projecting from current prices suggests average receipts of about $179/mbf. 
</t>
        </r>
      </text>
    </comment>
    <comment ref="C39" authorId="0">
      <text>
        <r>
          <rPr>
            <sz val="9"/>
            <color indexed="81"/>
            <rFont val="Arial"/>
            <family val="2"/>
          </rPr>
          <t xml:space="preserve">Use this table to provide different assumptions about the sustained timber harvest each scenario may achieve, the type of timber harvest that will make up the total, and/or an average net price. Note that the O&amp;C Task Force runs for "ecological forestry" and "industiral regeneration" each model a mix of harvest types, including thinning. </t>
        </r>
      </text>
    </comment>
    <comment ref="C55" authorId="0">
      <text>
        <r>
          <rPr>
            <sz val="9"/>
            <color indexed="81"/>
            <rFont val="Arial"/>
            <family val="2"/>
          </rPr>
          <t xml:space="preserve">Change the values in the green shaded cells to make different assumptions about the management costs for scenarios where management costs are paid directly from net receipts.  
N/A indicates that management costs are expected to be paid at least partially through appropriations. Using management costs of 30 percent replicates the results from the Governor's Task Force. State management costs are closer to 36 percent. Current BLM management costs exceed 100 percent of current receipts. </t>
        </r>
      </text>
    </comment>
  </commentList>
</comments>
</file>

<file path=xl/sharedStrings.xml><?xml version="1.0" encoding="utf-8"?>
<sst xmlns="http://schemas.openxmlformats.org/spreadsheetml/2006/main" count="516" uniqueCount="278">
  <si>
    <t>Benton</t>
  </si>
  <si>
    <t>Clackamas</t>
  </si>
  <si>
    <t>Columbia</t>
  </si>
  <si>
    <t>Coos</t>
  </si>
  <si>
    <t>Curry</t>
  </si>
  <si>
    <t>Douglas</t>
  </si>
  <si>
    <t>Jackson</t>
  </si>
  <si>
    <t>Josephine</t>
  </si>
  <si>
    <t>Klamath</t>
  </si>
  <si>
    <t>Lane</t>
  </si>
  <si>
    <t>Lincoln</t>
  </si>
  <si>
    <t>Linn</t>
  </si>
  <si>
    <t>Marion</t>
  </si>
  <si>
    <t>Multnomah</t>
  </si>
  <si>
    <t>Polk</t>
  </si>
  <si>
    <t>Tillamook</t>
  </si>
  <si>
    <t>Washington</t>
  </si>
  <si>
    <t>Yamhill</t>
  </si>
  <si>
    <t>CBWR</t>
  </si>
  <si>
    <t>O&amp;C Total</t>
  </si>
  <si>
    <t>Summary of Oregon and California Grant Lands Assessed Acreage, Acreage Not Assessed, and Controverted Acreage</t>
  </si>
  <si>
    <t>(Acreage and Value Figures Determined By BLM Under the Act Of June 24, 1954 (68 Stat. 270) and Recommended</t>
  </si>
  <si>
    <t>as the Basis for Distribution of Receipts Among the 18 Counties Under that Act)</t>
  </si>
  <si>
    <t>Assessed Value</t>
  </si>
  <si>
    <t>Note (1):  Value of O&amp;C lands assuming the same value for all lands as the average value of those lands that were assessed in 1915.</t>
  </si>
  <si>
    <t>Assessed Acreage</t>
  </si>
  <si>
    <t>Average Assessed Value Per Acre</t>
  </si>
  <si>
    <t>Acreage not Assessed</t>
  </si>
  <si>
    <t>Controverted Acreage</t>
  </si>
  <si>
    <t>Total Acreage</t>
  </si>
  <si>
    <t>Value of O&amp;C Lands (See Note 1)</t>
  </si>
  <si>
    <t>Percent of Total O&amp;C Value</t>
  </si>
  <si>
    <t>Per-Acre Estimated Payment (Based on $10 Million in Receipts)</t>
  </si>
  <si>
    <t>Timber Estimate</t>
  </si>
  <si>
    <t>Price Estimate</t>
  </si>
  <si>
    <t>Total Revenue</t>
  </si>
  <si>
    <t>300-350</t>
  </si>
  <si>
    <t>SRS Payments</t>
  </si>
  <si>
    <t>SRS Average (2001-2012)</t>
  </si>
  <si>
    <t>N/A</t>
  </si>
  <si>
    <t>$43,812,615 to $59,275,892</t>
  </si>
  <si>
    <t xml:space="preserve">$125 to $198 </t>
  </si>
  <si>
    <t>Total Receipts</t>
  </si>
  <si>
    <t>SRS High Payment (2001)</t>
  </si>
  <si>
    <t>$17,000,000 to $19,000,000</t>
  </si>
  <si>
    <t>"Plan creates jobs &amp; generates up to $90 million a year for rural Oregon counties." Peter DeFazio Media Release: DeFazio-Walden-Schrader O&amp;C Bill Passes U.S. House of Representatives. September 20, 2013.  http://defazio.house.gov/media-center/press-releases/media-release-defazio-walden-schrader-oc-bill-passes-us-house-of.</t>
  </si>
  <si>
    <t>Headwaters Economics November 2013 Oregon O&amp;C Lands Senate bill analysis. http://headwaterseconomics.org/land/county-payments-research.</t>
  </si>
  <si>
    <t>Basic Methods</t>
  </si>
  <si>
    <t>$28,859,462 to $40,456,919</t>
  </si>
  <si>
    <t>Governor's Task Force</t>
  </si>
  <si>
    <t>Ecological Forestry</t>
  </si>
  <si>
    <t>Source of Payment Estimate</t>
  </si>
  <si>
    <t>Management Option</t>
  </si>
  <si>
    <t>$34,000,000 to $38,000,000</t>
  </si>
  <si>
    <t>$98 to $126</t>
  </si>
  <si>
    <t xml:space="preserve">Normal text indicates numbers as reported or estimated by the source.  </t>
  </si>
  <si>
    <t>Difference</t>
  </si>
  <si>
    <t>O&amp;C Total Payment</t>
  </si>
  <si>
    <t>O&amp;C Total Payment (Average)</t>
  </si>
  <si>
    <t>Revenue Sharing Formula</t>
  </si>
  <si>
    <t>DeFazio High Estimate</t>
  </si>
  <si>
    <t>DeFazio Low Estimate</t>
  </si>
  <si>
    <t>Wyden High Estimate</t>
  </si>
  <si>
    <t>Wyden Low Estimate</t>
  </si>
  <si>
    <t>Governors Task Force: A</t>
  </si>
  <si>
    <t>Governors Task Force: B</t>
  </si>
  <si>
    <t>Governors Task Force: C</t>
  </si>
  <si>
    <t>Governors Task Force: D</t>
  </si>
  <si>
    <t>Governors Task Force: E</t>
  </si>
  <si>
    <t xml:space="preserve">SRS FY 2012 </t>
  </si>
  <si>
    <t>Comparison of County Payments Associated with Various O&amp;C Proposals Assuming a Constant Timber Price</t>
  </si>
  <si>
    <t>A: Status Quo, Thin Only</t>
  </si>
  <si>
    <t>B: Management Trust, OFPA</t>
  </si>
  <si>
    <t>C: Management Trust, 20% Riparian</t>
  </si>
  <si>
    <t>D: Critical Habitat &amp; Ecological</t>
  </si>
  <si>
    <t>E: Critical Habitat, NWFP, Ecological</t>
  </si>
  <si>
    <t>Thinning</t>
  </si>
  <si>
    <t>Industrial Regeneration</t>
  </si>
  <si>
    <t>Comparison of O&amp;C County Payments Based on Recent, Current, and Proposed Legislation</t>
  </si>
  <si>
    <t>Price Assumption ($/mbf)</t>
  </si>
  <si>
    <t>Estimated Revenue</t>
  </si>
  <si>
    <t>Estimated Payment</t>
  </si>
  <si>
    <t>Source for Timber and County Payment Assumptions</t>
  </si>
  <si>
    <t>Price Assumptions</t>
  </si>
  <si>
    <t>Management Cost Assumptions</t>
  </si>
  <si>
    <t>Current Law Revenue Sharing  Estimated Payments</t>
  </si>
  <si>
    <t>FY 2013 Receipts</t>
  </si>
  <si>
    <t xml:space="preserve">Twenty five percent of gross receipts are directed to the BLM for administration of the O&amp;C lands. The balance of the agency's budget is provided by appropriations, determined in the annual budget process. </t>
  </si>
  <si>
    <t>Historic Receipts (1970 to 1990)</t>
  </si>
  <si>
    <t>SRS FY 2012</t>
  </si>
  <si>
    <t xml:space="preserve">N/A  </t>
  </si>
  <si>
    <t xml:space="preserve">Average of the payments made from 2001 to 2007 using the original SRS formula, and payments made in 2008 and later using the reformed formula. </t>
  </si>
  <si>
    <t>Reps DeFazio-Walden-Schrader O&amp;C Jobs Act</t>
  </si>
  <si>
    <t>DeFazio on DeFazio</t>
  </si>
  <si>
    <t xml:space="preserve">To generate $90 million in county payments, gross receipts need to be $170 million annually. If the cut is 400 to 500 mmbf, the price needs to be between $340 t0 $425 per mfb. Management costs are assumed to be 36.25% of gross receipts, and could be higher or lower. </t>
  </si>
  <si>
    <t>Senator Wyden O&amp;C Act of 2013</t>
  </si>
  <si>
    <t xml:space="preserve">O&amp;C Counties on Wyden </t>
  </si>
  <si>
    <t xml:space="preserve">Price is assumed to be equivalent to the price achieved by the BLM in FY 2012. The estimate assumes that 80 percent of gross receipts are from timber, and the price ranges from between $98 and $126 per mbf. </t>
  </si>
  <si>
    <t>Headwaters Economics on Wyden</t>
  </si>
  <si>
    <t>O&amp;C Lands Report. Prepared for Oregon Governor John Kitzhaber. February 6, 2013. Table R-1. Timber and Revenue Modeling Results. Page 45 http://www.oregon.gov/gov/GNRO/docs/OCLandsReport.pdf.</t>
  </si>
  <si>
    <t>Defined in O&amp;C Act of 1937: 50% of receipts, allocated to counties based on relative 1915 taxable value. (from Task Force Report, page 45. "County revenues are calculated at 50% of timber receipts for the public land timber volume and calculated at 5% annual return from the sale price of the private component." http://www.oregon.gov/gov/GNRO/docs/OCLandsReport.pdf.</t>
  </si>
  <si>
    <t>O&amp;C Counties on Wyden</t>
  </si>
  <si>
    <t>10-Year Ave. Receipts (2004 to 2013)</t>
  </si>
  <si>
    <t>FY 2012 SRS</t>
  </si>
  <si>
    <t>INSTRUCTIONS</t>
  </si>
  <si>
    <t>Comparison of County Payments Based on Asserted Timber Harvest and Price Assumptions</t>
  </si>
  <si>
    <t>Average Timber Estimate (mmbf)</t>
  </si>
  <si>
    <t>Average Price Estimate ($/mbf)</t>
  </si>
  <si>
    <t>Actual receipts and estimated payments, BLM numbers.</t>
  </si>
  <si>
    <t>Estimated average price of timber sold in 2013, calculated by dividing total gross receipts from timber by the actual timber cut (mbf). The price assumes that 80% of the total gross receipts reported by BLM are from timber, and the rest come from other sources of commercial revenue (e.g. grazing, recreation, right-of-way, etc…).</t>
  </si>
  <si>
    <t>Defined in O&amp;C Act of 1937: 50% of receipts, allocated to counties based on relative 1915 taxable value.</t>
  </si>
  <si>
    <t xml:space="preserve">Actual payments to counties based on the 2008 SRS formula reforms, reported by the BLM. </t>
  </si>
  <si>
    <t>U.S. Department of Interior, Bureau of Land Management, Oregon State Office. Receipts from O&amp;C lands, and Timber Sales. http://www.blm.gov/or/resources/forests/index.php.</t>
  </si>
  <si>
    <t>U.S. Department of Interior, Bureau of Land Management, Oregon State Office. Official Payments Made to Counties. http://www.blm.gov/or/rac/ctypaypayments.php. Data also available in the Economic Profile System-Human Dimensions Toolkit http://headwaterseconomics.org/tools/eps-hdt.</t>
  </si>
  <si>
    <t>Actual payments to counties based on the 2001 SRS formula, reported by the BLM.</t>
  </si>
  <si>
    <t xml:space="preserve">The 2001 formula is based on historic timber receipts. Each county receives a share of the total appropriation made for the O&amp;C lands based on their relative historic timber receipts (counties with higher historic receipts win a larger share of the total payment). </t>
  </si>
  <si>
    <t xml:space="preserve">The sponsors do not provide an estimate for management costs that we could find, so it is not possible to determine how the county payment estimate was arrived at. In order to do so, one more piece of data is required, either a price assumption, or an estimate of management costs.   </t>
  </si>
  <si>
    <t>"Information on Wyden's website suggests his proposal would provide just $17 to $19 million per year for county services, compared to the historic average of $134 million for local communities from the O&amp;C lands." Source: Association of O&amp;C Counties Press Release December 2, 2013. http://media.oregonlive.com/mapes/other/O&amp;C%20Press%20Release%20to%20Senator%20Wyden%27s%20Proposal%20Dec.%202,%202013.pdf.</t>
  </si>
  <si>
    <t>Reforms the O&amp;C Act of 1937 to distribute 25%, up to $20 million to the BLM for administrative costs, $4 million to the federal treasury, and the remainder to counties in an amount at least equal to what they would have received in 2013 from the existing O&amp;C law (assuming SRS was not available). Payments are allocated between counties using the current law based on relative taxable value in 1915.</t>
  </si>
  <si>
    <t xml:space="preserve">Twenty five percent of gross receipts are allocated to the BLM for management costs, with a cap of $20 million annually. The balance would be funded by appropriations, determined in the annual budget process. </t>
  </si>
  <si>
    <t xml:space="preserve">The county payment estimate assumes that if timber harvests will roughly double from current levels, it is reasonable to expect that current receipts will also roughly double. Actual receipts in 2012 were about $9 million. The estimate does not take into consideration the new, higher share of revenue that counties would receive, meaning payments should be expected to more than double. </t>
  </si>
  <si>
    <t>About This Spreadsheet</t>
  </si>
  <si>
    <t>Interactive Price Table</t>
  </si>
  <si>
    <t>Interactive Comparison</t>
  </si>
  <si>
    <t>Comparison Table</t>
  </si>
  <si>
    <t>Overview of Policy Options</t>
  </si>
  <si>
    <t xml:space="preserve">This Headwaters Economics interactive spreadsheet assembles in one place a summary of the various Oregon &amp; California (O&amp;C) reform proposals and the assumptions they use to estimate future county payment levels. Our goal is to provide a tool that will allow elected officials, staff, and interested parties to see the variables that determine how the various policy options compare, and to be able to interpret the policy options for themselves. Bolded titles below refer to separate tabs in this spreadsheet. </t>
  </si>
  <si>
    <t xml:space="preserve">Users can also change the price assumptions in two ways in order to see how price assumptions change the county payment estimates, and to insert their own price assumptions. </t>
  </si>
  <si>
    <t xml:space="preserve">
</t>
  </si>
  <si>
    <t>Contact Information</t>
  </si>
  <si>
    <t>406-570-5626</t>
  </si>
  <si>
    <t>mark@heaterseconomics.org</t>
  </si>
  <si>
    <t>Mark Haggerty</t>
  </si>
  <si>
    <t>Headwaters Economics</t>
  </si>
  <si>
    <t xml:space="preserve">In this tab, the table allows you to compare various scenarios using a constant timber price. Using a constant price is an effective way to demonstrate how different price assumptions affect the county payment estimates for each scenario. </t>
  </si>
  <si>
    <t>Specific County Payment Scenarios</t>
  </si>
  <si>
    <t>Scenario 1</t>
  </si>
  <si>
    <t>Scenario 2</t>
  </si>
  <si>
    <t>Scenario 1:</t>
  </si>
  <si>
    <t>Scenario 2:</t>
  </si>
  <si>
    <t>Grey Italic text indicates numbers are estimated by Headwaters Economics.</t>
  </si>
  <si>
    <t>Estimated average price of timber sold over the last ten years (FY 2004 to 2013), calculated by dividing total gross receipts from timber by the actual timber cut (mbf). The price assumes that 80% of the total gross receipts reported by BLM are from timber, and the rest come from other sources of commercial revenue (e.g. grazing, recreation, right-of-way, etc…).</t>
  </si>
  <si>
    <t xml:space="preserve">The price is estimated by doubling the average of commercial receipts collected from O&amp;C lands over the last ten years. The calculated price of timber does not consider that a portion of receipts come from sources other than timber. </t>
  </si>
  <si>
    <t xml:space="preserve">Assumes gross receipts double from the 10-year average (adjusted for inflation), and provides a range of plus to minus 15 percent to reflect uncertainty and volatility in prices. Payments are estimated using the new revenue sharing allocation between the BLM, counties, and the federal treasury. Allocations between counties are made using the current law based on relative taxable value as of 1915. The main difference between the Headwaters Economics estimate and the estimate from the O&amp;C Counties is that the ten-year average price is higher than the most recent year, and Headwaters Economics applies the new formula that distributes a larger share of receipts to counties. </t>
  </si>
  <si>
    <t xml:space="preserve">Methods are described in detail in the Task Force report. </t>
  </si>
  <si>
    <t>Estimated average price of timber sold over the period 1970 to 1990 (adjusted for inflation to FY 2013 dollars).</t>
  </si>
  <si>
    <t xml:space="preserve">The Oregon State Department of Forestry retains 36.25% of gross receipts from Board of Forestry Lands to manage state lands. In 2012, the Common School Trust Lands in Oregon made $11 million with net profit of $6.3 million. Management costs are the difference, or $4.7 million (42.7 percent of gross revenue). Source: Oregon Department of Forestry 77th Oregon Legislative Assembly 2013-15 Biennial Budget Ways and Means Presentation April 2013. Pages 3-1 and 3-4.   http://www.oregon.gov/odf/docs/ODF_2013_15_Ways_and_Means_Presentation.pdf. On federal lands, current budget request for FY 2014 is $115 million. Management costs are higher on federal lands for a variety of reasons. The ultimate costs of managing the O&amp;C lands in a trust are uncertain.  </t>
  </si>
  <si>
    <t>The 2008 reforms included three components in the SRS formula: historic timber receipts, acres of federal land, and per-capita personal income. Each county's payment is calculated as a share of the total appropriation made for the O&amp;C lands based on their relative formula score (counties with higher historic receipts, a greater number of BLM O&amp;C acres, and lower per-capita personal income win a larger share of the total payment).</t>
  </si>
  <si>
    <t>Actual payments averaged over the period, which were made both using the 2001 SRS formula, and the 2008 reformed SRS formula. Payment data from the BLM.</t>
  </si>
  <si>
    <t>10-Year Average Receipts (2004 to 2013)</t>
  </si>
  <si>
    <t xml:space="preserve">In this tab, the table has two drop down menus that allow you to select two of the various scenarios in order to compare side by side. The scenarios are named the same way that they are named in the comparison table in Column C. Once any two scenarios are selected, the table will show estimated county payments, timber harvest and price assumptions, and the total receipts projected based on the price and harvest assumptions. The 'Difference' column in the table shows the variance between the two scenarios. </t>
  </si>
  <si>
    <t>Headwaters Economics on DeFazio</t>
  </si>
  <si>
    <t xml:space="preserve">The net price after harvest costs needs to be in the range of $256 to $321 to achieve the county payment estimate. </t>
  </si>
  <si>
    <t>Less of 25% or $20 million</t>
  </si>
  <si>
    <t xml:space="preserve">Reforms the O&amp;C Act to distribute 100% of net receipts (gross receipts less harvest costs) from the O&amp;C lands to counties, after management and administrative costs are subtracted. In addition, $10 million will go to the federal treasury, and 5% to a conservation trust. Amounts exceeding 110% of the previous year's county payments are directed to a reserve fund. The actual share of revenue that is delivered to counties under the DeFazio bill is hard to determine, but we estimated it at around 70 percent in a year where no surplus revenue is directed to the trust. The county portion is allocated between counties based on relative 1915 taxable value (existing O&amp;C Act of 1937). </t>
  </si>
  <si>
    <t>Timber Assumption (Mmbf shor logs)</t>
  </si>
  <si>
    <t>Calculated Average Net Price (Sum of Table A and Table B Inputs)</t>
  </si>
  <si>
    <t>Table B: Insert Different Timber Harvest Assumptions Here</t>
  </si>
  <si>
    <t>Table A: Insert Net Price Assumptions Here</t>
  </si>
  <si>
    <r>
      <rPr>
        <b/>
        <sz val="10"/>
        <rFont val="Arial"/>
        <family val="2"/>
      </rPr>
      <t xml:space="preserve">Table B: Change Timber Harvest Estimates. </t>
    </r>
    <r>
      <rPr>
        <sz val="10"/>
        <rFont val="Arial"/>
        <family val="2"/>
      </rPr>
      <t xml:space="preserve">This table allows you to change the total volume of timber that each scenario is likely to produce. You can also specify the type of sale in three broad categories (thinning, ecological forestry, and industrial regeneration). The table converts timber harvests to short logs where necessary. </t>
    </r>
  </si>
  <si>
    <t>Estimated Net Price</t>
  </si>
  <si>
    <t>Scenario</t>
  </si>
  <si>
    <t>Type of Timber Sale</t>
  </si>
  <si>
    <t>Harvest Required to Pay Counties $40 Million (mmbf*)</t>
  </si>
  <si>
    <t>Harvest Required to Pay Counties $100 Million (mmbf*)</t>
  </si>
  <si>
    <t xml:space="preserve">Estimated County Payment </t>
  </si>
  <si>
    <t>Estimated Total Net Receipts</t>
  </si>
  <si>
    <t>Estimated Timber Harvest  (mmbf*)</t>
  </si>
  <si>
    <t xml:space="preserve">Estimated Net Price  </t>
  </si>
  <si>
    <t xml:space="preserve">Use the tables below to enter different estimates for timber harvest, net price, and management costs.  The results in Table 1 will change to reflect the assumptions you choose.  </t>
  </si>
  <si>
    <t>Input Average Net Price ($/mbf) for Various Activities</t>
  </si>
  <si>
    <t>Input Timber Harvest and Share of Total Activity</t>
  </si>
  <si>
    <t>Management Costs Deducted from Net Receipts</t>
  </si>
  <si>
    <t>Timber Harvest (short logs)</t>
  </si>
  <si>
    <t>Timber Harvest (long logs)</t>
  </si>
  <si>
    <t>Table C: Insert Different Management Cost Assumptions Here</t>
  </si>
  <si>
    <r>
      <rPr>
        <b/>
        <sz val="10"/>
        <rFont val="Arial"/>
        <family val="2"/>
      </rPr>
      <t>Table A: Change the Net Price Assumption.</t>
    </r>
    <r>
      <rPr>
        <sz val="10"/>
        <rFont val="Arial"/>
        <family val="2"/>
      </rPr>
      <t xml:space="preserve">  The average net price is the mill price (e.g. the market price) less harvest and transportation costs.  The average net price is the amount of money the BLM or Trust will have to allocate to counties. </t>
    </r>
  </si>
  <si>
    <r>
      <t xml:space="preserve">Table C: Change Management Cost Assumptions. </t>
    </r>
    <r>
      <rPr>
        <sz val="10"/>
        <rFont val="Arial"/>
        <family val="2"/>
      </rPr>
      <t xml:space="preserve">Use this table to enter different assumptions about management and administrative costs. These are land management and administration costs paid from net receipts, and are different from harvest and transportation costs. </t>
    </r>
  </si>
  <si>
    <t>Source: BLM Oregon and Washington Office www.blm</t>
  </si>
  <si>
    <t>Current Receipts (10-Year Average)</t>
  </si>
  <si>
    <t>The Task Force report, as published online, does not state the assumptions for mill value, logging cost, and/or management costs. Mill values were modeled based on species, size (as a function of stand age), and geography within the harvest scheduling model. Table B-13 on Page 28 is included for reference purposes only to describe the components of forest harvesting economics. The price assumptions listed in column E were calcluated by Headwaters Economics from the timber harvest and county payment estimates provided in the Task Force report.</t>
  </si>
  <si>
    <t xml:space="preserve">The Task Force report, as published online, does not state the assumptions for mill value, logging cost, and/or management costs. Mill values were modeled based on species, size (as a function of stand age), and geography within the harvest scheduling model. Table B-13 on Page 28 is included for reference purposes only to describe the components of forest harvesting economics. The price assumptions listed in column E were calcluated by Headwaters Economics from the timber harvest and county payment estimates provided in the Task Force report. </t>
  </si>
  <si>
    <t xml:space="preserve">For Task Force runs B and C, 100 percent of net receipts (mill price less harvest costs) are available for distribution to counties less management and administrative costs. We made price and administrative cost assumptions in order to replicate the findings of the model runs presented in the Task Force report. </t>
  </si>
  <si>
    <t>485 to 606</t>
  </si>
  <si>
    <t>$272  to $340</t>
  </si>
  <si>
    <t>$223 to $278</t>
  </si>
  <si>
    <t xml:space="preserve">For each of these policy options, we list the four main assumptions that drive county payment projections: the sustained yield of timber each will generate, the average net price of timber sold, the way management costs are funded and what share of net receipts they are likely to be, and the share of gross receipts directed to counties. The policy options are, generally: </t>
  </si>
  <si>
    <t xml:space="preserve">Represenative DeFazio has cited estimates for harvest levels, management costs, and projected county payments modeled by Mason, Bruce and Girard for the Assocaiton of O&amp;C Counties. Using these variables, we estimated the net stumpage price needed to replicate the payment estimate. We also assume that the harvest levels are presented in long logs (all other scenarios are presented in short logs). To make an apples to apples comparison, long logs are divided by 0.82 to convert the measure ot short logs. </t>
  </si>
  <si>
    <t xml:space="preserve">In the 'Interactive Comparison' tab of this spreadsheet the table shows the actual or estimated county payments associated with the various O&amp;C land management and county payment scenarios, including current and historic timber receipts, SRS payments, and proposals from the U.S. House and Senate. </t>
  </si>
  <si>
    <t xml:space="preserve">“SRS Reauthorization” which assumes future SRS payments will be similar to recent payment levels (FY 2012). 
</t>
  </si>
  <si>
    <t xml:space="preserve">“Current Timber Receipts (10-Year Average)” shows the average value of receipts over the last ten years (adjusted for inflation using FY 2013 dollars) and assumes future timber harvests and net receipts will be similar to these levels;
</t>
  </si>
  <si>
    <t xml:space="preserve">“Ecological Forestry” refers to several scenarios modeled on an “ecological forestry” land management proposal based on forestry principles offered by Jerry Franklin and Norm Johnson, including the recent legislative proposal offered in the U.S. Senate and two scenarios modeled by the O&amp;C Task Force (D and E); and 
</t>
  </si>
  <si>
    <t xml:space="preserve">“Management Trust” refers to several proposals that model future timber harvests that may be possible under a Trust Management concept. H.R. 1526, the O&amp;C Trust, Conservation, and Jobs Act offered by U.S. Representatives DeFazio, Walden and Schrader;  and two scenarios (B and C) modeled by the Oregon Governor’s O&amp;C Task Force are based on this management proposal; 
</t>
  </si>
  <si>
    <t xml:space="preserve">Oregon Governor's Task Force: The Task Force analyzed a range of O&amp;C land management scenarios and provided a projection of county payments each is anticipated to generate. We include five of the main land management scenarios in our comparison. The five scenarios generally represent current timber receipts, Management Trust, and ecological forestry proposals described above. 
</t>
  </si>
  <si>
    <t>A short brief accompanies this spreadsheet that illustrates several lessons learned from using the functionality to compare the policy scenarios using several different sets of assumptions. The brief is avaialbe for download at http://headwaterseconomics.org/land/county-payments-research.</t>
  </si>
  <si>
    <t xml:space="preserve">This tab provides an overview of the main O&amp;C land management and county payment proposals, including current timber receipts, recent SRS payments, and the Mangement Trust and Ecological Forestry proposals.  </t>
  </si>
  <si>
    <t xml:space="preserve">This tab has a comparison table that shows actual or estimated county payments associated with the various land management and county payment scenarios. The table details the assumptions inherent to each county payment estimate, including the timber harvest estimates, assumed net timber prices, total gross revenue, and county payment estimates. Sources are documented and assumptions are described in as much detail as possible. </t>
  </si>
  <si>
    <t xml:space="preserve">The Task Force report, as published online, does not state the assumptions for mill value, logging cost, and/or management costs. Mill values were modeled based on species, size (as a function of stand age), and geography within the harvest scheduling model. Table B-13 on Page 28 is included for reference purposes only to describe the components of forest harvesting economics. The price assumptions listed in column E were calcluated by Headwaters Economics from the timber harvest and county payment estimates provided in the Task Force report, and a amangement cost estimate of 30 percent detailed in a Revenue Assumptions and Methodology Addendum to the Task Force report. </t>
  </si>
  <si>
    <t>The</t>
  </si>
  <si>
    <t>Task</t>
  </si>
  <si>
    <t>Force</t>
  </si>
  <si>
    <t>report,</t>
  </si>
  <si>
    <t>as</t>
  </si>
  <si>
    <t>published</t>
  </si>
  <si>
    <t>online,</t>
  </si>
  <si>
    <t>does</t>
  </si>
  <si>
    <t>not</t>
  </si>
  <si>
    <t>state</t>
  </si>
  <si>
    <t>the</t>
  </si>
  <si>
    <t>assumptions</t>
  </si>
  <si>
    <t>for</t>
  </si>
  <si>
    <t>mill</t>
  </si>
  <si>
    <t>value,</t>
  </si>
  <si>
    <t>logging</t>
  </si>
  <si>
    <t>cost,</t>
  </si>
  <si>
    <t>and/or</t>
  </si>
  <si>
    <t>management</t>
  </si>
  <si>
    <t>costs.</t>
  </si>
  <si>
    <t>Mill</t>
  </si>
  <si>
    <t>values</t>
  </si>
  <si>
    <t>were</t>
  </si>
  <si>
    <t>modeled</t>
  </si>
  <si>
    <t>based</t>
  </si>
  <si>
    <t>on</t>
  </si>
  <si>
    <t>species,</t>
  </si>
  <si>
    <t>size</t>
  </si>
  <si>
    <t>(as</t>
  </si>
  <si>
    <t>a</t>
  </si>
  <si>
    <t>function</t>
  </si>
  <si>
    <t>of</t>
  </si>
  <si>
    <t>stand</t>
  </si>
  <si>
    <t>age),</t>
  </si>
  <si>
    <t>and</t>
  </si>
  <si>
    <t>geography</t>
  </si>
  <si>
    <t>within</t>
  </si>
  <si>
    <t>harvest</t>
  </si>
  <si>
    <t>scheduling</t>
  </si>
  <si>
    <t>model.</t>
  </si>
  <si>
    <t>Table</t>
  </si>
  <si>
    <t>B-13</t>
  </si>
  <si>
    <t>Page</t>
  </si>
  <si>
    <t>is</t>
  </si>
  <si>
    <t>included</t>
  </si>
  <si>
    <t>reference</t>
  </si>
  <si>
    <t>purposes</t>
  </si>
  <si>
    <t>only</t>
  </si>
  <si>
    <t>to</t>
  </si>
  <si>
    <t>describe</t>
  </si>
  <si>
    <t>components</t>
  </si>
  <si>
    <t>forest</t>
  </si>
  <si>
    <t>harvesting</t>
  </si>
  <si>
    <t>economics.</t>
  </si>
  <si>
    <t>price</t>
  </si>
  <si>
    <t>listed</t>
  </si>
  <si>
    <t>in</t>
  </si>
  <si>
    <t>column</t>
  </si>
  <si>
    <t>E</t>
  </si>
  <si>
    <t>calcluated</t>
  </si>
  <si>
    <t>by</t>
  </si>
  <si>
    <t>Headwaters</t>
  </si>
  <si>
    <t>Economics</t>
  </si>
  <si>
    <t>from</t>
  </si>
  <si>
    <t>timber</t>
  </si>
  <si>
    <t>county</t>
  </si>
  <si>
    <t>payment</t>
  </si>
  <si>
    <t>estimates</t>
  </si>
  <si>
    <t>provided</t>
  </si>
  <si>
    <t>amangement</t>
  </si>
  <si>
    <t>cost</t>
  </si>
  <si>
    <t>estimate</t>
  </si>
  <si>
    <t>percent</t>
  </si>
  <si>
    <t>detailed</t>
  </si>
  <si>
    <t>Revenue</t>
  </si>
  <si>
    <t>Assumptions</t>
  </si>
  <si>
    <t>Methodology</t>
  </si>
  <si>
    <t>Addendum</t>
  </si>
  <si>
    <t>report.</t>
  </si>
  <si>
    <t xml:space="preserve">Assumes management costs of 22% provied by Representative DeFazio's office.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</si>
</sst>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0.000%"/>
    <numFmt numFmtId="165" formatCode="&quot;$&quot;#,##0"/>
    <numFmt numFmtId="166" formatCode="&quot;$&quot;#,##0.00"/>
    <numFmt numFmtId="167" formatCode="&quot;$&quot;#,##0;[Red]&quot;$&quot;#,##0"/>
    <numFmt numFmtId="168" formatCode="&quot;$&quot;#,##0.0"/>
    <numFmt numFmtId="169" formatCode="_(* #,##0_);_(* \(#,##0\);_(* &quot;-&quot;??_);_(@_)"/>
    <numFmt numFmtId="170" formatCode="#,##0;[Red]#,##0"/>
    <numFmt numFmtId="171" formatCode="_(&quot;$&quot;* #,##0_);_(&quot;$&quot;* \(#,##0\);_(&quot;$&quot;* &quot;-&quot;??_);_(@_)"/>
    <numFmt numFmtId="172" formatCode="0.0%"/>
  </numFmts>
  <fonts count="18" x14ac:knownFonts="1">
    <font>
      <sz val="10"/>
      <name val="Arial"/>
      <family val="2"/>
    </font>
    <font>
      <sz val="10"/>
      <name val="Arial"/>
      <family val="2"/>
    </font>
    <font>
      <sz val="10"/>
      <name val="Arial"/>
      <family val="2"/>
    </font>
    <font>
      <sz val="10"/>
      <name val="Arial"/>
      <family val="2"/>
    </font>
    <font>
      <b/>
      <sz val="10"/>
      <name val="Arial"/>
      <family val="2"/>
    </font>
    <font>
      <b/>
      <sz val="12"/>
      <name val="Arial"/>
    </font>
    <font>
      <b/>
      <sz val="14"/>
      <name val="Arial"/>
    </font>
    <font>
      <sz val="12"/>
      <name val="Arial"/>
    </font>
    <font>
      <sz val="11"/>
      <color theme="1"/>
      <name val="Calibri"/>
      <family val="2"/>
      <scheme val="minor"/>
    </font>
    <font>
      <b/>
      <sz val="11"/>
      <color rgb="FF3F3F3F"/>
      <name val="Calibri"/>
      <family val="2"/>
      <scheme val="minor"/>
    </font>
    <font>
      <i/>
      <sz val="10"/>
      <color theme="0" tint="-0.499984740745262"/>
      <name val="Arial"/>
    </font>
    <font>
      <sz val="10"/>
      <color theme="1"/>
      <name val="Arial"/>
      <family val="2"/>
    </font>
    <font>
      <sz val="10"/>
      <color rgb="FFFF0000"/>
      <name val="Arial"/>
    </font>
    <font>
      <sz val="11"/>
      <name val="Arial"/>
      <family val="2"/>
    </font>
    <font>
      <sz val="10"/>
      <color theme="1"/>
      <name val="Calibri"/>
      <family val="2"/>
      <scheme val="minor"/>
    </font>
    <font>
      <u/>
      <sz val="10"/>
      <color theme="10"/>
      <name val="Arial"/>
      <family val="2"/>
    </font>
    <font>
      <u/>
      <sz val="10"/>
      <color theme="11"/>
      <name val="Arial"/>
      <family val="2"/>
    </font>
    <font>
      <sz val="9"/>
      <color indexed="81"/>
      <name val="Arial"/>
      <family val="2"/>
    </font>
  </fonts>
  <fills count="12">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6" tint="0.39997558519241921"/>
        <bgColor indexed="64"/>
      </patternFill>
    </fill>
  </fills>
  <borders count="49">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diagonal/>
    </border>
    <border>
      <left/>
      <right style="medium">
        <color auto="1"/>
      </right>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rgb="FF3F3F3F"/>
      </left>
      <right style="thin">
        <color rgb="FF3F3F3F"/>
      </right>
      <top style="thin">
        <color rgb="FF3F3F3F"/>
      </top>
      <bottom style="thin">
        <color rgb="FF3F3F3F"/>
      </bottom>
      <diagonal/>
    </border>
    <border>
      <left style="medium">
        <color auto="1"/>
      </left>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theme="0" tint="-0.34998626667073579"/>
      </left>
      <right/>
      <top style="thin">
        <color theme="0" tint="-0.34998626667073579"/>
      </top>
      <bottom style="thin">
        <color theme="0" tint="-0.34998626667073579"/>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style="thin">
        <color rgb="FF3F3F3F"/>
      </left>
      <right style="medium">
        <color auto="1"/>
      </right>
      <top style="thin">
        <color rgb="FF3F3F3F"/>
      </top>
      <bottom style="thin">
        <color rgb="FF3F3F3F"/>
      </bottom>
      <diagonal/>
    </border>
    <border>
      <left style="thin">
        <color rgb="FF3F3F3F"/>
      </left>
      <right style="medium">
        <color auto="1"/>
      </right>
      <top style="thin">
        <color rgb="FF3F3F3F"/>
      </top>
      <bottom style="medium">
        <color auto="1"/>
      </bottom>
      <diagonal/>
    </border>
    <border>
      <left style="medium">
        <color auto="1"/>
      </left>
      <right/>
      <top style="thin">
        <color auto="1"/>
      </top>
      <bottom style="thin">
        <color auto="1"/>
      </bottom>
      <diagonal/>
    </border>
    <border>
      <left/>
      <right style="thin">
        <color rgb="FF3F3F3F"/>
      </right>
      <top/>
      <bottom/>
      <diagonal/>
    </border>
    <border>
      <left/>
      <right style="thin">
        <color rgb="FF3F3F3F"/>
      </right>
      <top/>
      <bottom style="medium">
        <color auto="1"/>
      </bottom>
      <diagonal/>
    </border>
    <border>
      <left/>
      <right style="thin">
        <color auto="1"/>
      </right>
      <top style="medium">
        <color auto="1"/>
      </top>
      <bottom/>
      <diagonal/>
    </border>
    <border>
      <left/>
      <right style="thin">
        <color auto="1"/>
      </right>
      <top/>
      <bottom style="thin">
        <color auto="1"/>
      </bottom>
      <diagonal/>
    </border>
    <border>
      <left style="medium">
        <color auto="1"/>
      </left>
      <right style="medium">
        <color auto="1"/>
      </right>
      <top/>
      <bottom style="medium">
        <color auto="1"/>
      </bottom>
      <diagonal/>
    </border>
    <border>
      <left/>
      <right/>
      <top style="thin">
        <color auto="1"/>
      </top>
      <bottom/>
      <diagonal/>
    </border>
    <border>
      <left style="thin">
        <color auto="1"/>
      </left>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theme="0" tint="-0.14996795556505021"/>
      </top>
      <bottom style="thin">
        <color theme="0" tint="-0.14996795556505021"/>
      </bottom>
      <diagonal/>
    </border>
    <border>
      <left style="medium">
        <color auto="1"/>
      </left>
      <right/>
      <top style="thin">
        <color auto="1"/>
      </top>
      <bottom/>
      <diagonal/>
    </border>
    <border>
      <left/>
      <right style="medium">
        <color auto="1"/>
      </right>
      <top style="thin">
        <color auto="1"/>
      </top>
      <bottom/>
      <diagonal/>
    </border>
    <border>
      <left style="thin">
        <color auto="1"/>
      </left>
      <right/>
      <top/>
      <bottom/>
      <diagonal/>
    </border>
    <border>
      <left style="thin">
        <color auto="1"/>
      </left>
      <right/>
      <top style="medium">
        <color auto="1"/>
      </top>
      <bottom/>
      <diagonal/>
    </border>
    <border>
      <left style="thin">
        <color auto="1"/>
      </left>
      <right/>
      <top/>
      <bottom style="medium">
        <color auto="1"/>
      </bottom>
      <diagonal/>
    </border>
    <border>
      <left style="thin">
        <color auto="1"/>
      </left>
      <right/>
      <top style="thin">
        <color auto="1"/>
      </top>
      <bottom/>
      <diagonal/>
    </border>
    <border>
      <left/>
      <right style="medium">
        <color auto="1"/>
      </right>
      <top/>
      <bottom style="thin">
        <color auto="1"/>
      </bottom>
      <diagonal/>
    </border>
  </borders>
  <cellStyleXfs count="180">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2" borderId="20"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330">
    <xf numFmtId="0" fontId="0" fillId="0" borderId="0" xfId="0"/>
    <xf numFmtId="0" fontId="0" fillId="0" borderId="0" xfId="0" applyAlignment="1">
      <alignment wrapText="1"/>
    </xf>
    <xf numFmtId="0" fontId="2" fillId="0" borderId="0" xfId="0" applyFont="1" applyAlignment="1"/>
    <xf numFmtId="0" fontId="2" fillId="0" borderId="0" xfId="0" applyFont="1"/>
    <xf numFmtId="0" fontId="0" fillId="0" borderId="0" xfId="0" applyFont="1" applyAlignment="1"/>
    <xf numFmtId="165" fontId="2" fillId="3" borderId="0" xfId="0" applyNumberFormat="1" applyFont="1" applyFill="1" applyBorder="1"/>
    <xf numFmtId="166" fontId="2" fillId="3" borderId="0" xfId="0" applyNumberFormat="1" applyFont="1" applyFill="1" applyBorder="1"/>
    <xf numFmtId="164" fontId="2" fillId="3" borderId="0" xfId="0" applyNumberFormat="1" applyFont="1" applyFill="1" applyBorder="1"/>
    <xf numFmtId="3" fontId="2" fillId="3" borderId="0" xfId="0" applyNumberFormat="1" applyFont="1" applyFill="1" applyBorder="1"/>
    <xf numFmtId="166" fontId="2" fillId="3" borderId="9" xfId="0" applyNumberFormat="1" applyFont="1" applyFill="1" applyBorder="1" applyAlignment="1"/>
    <xf numFmtId="165" fontId="0" fillId="0" borderId="0" xfId="0" applyNumberFormat="1"/>
    <xf numFmtId="167" fontId="0" fillId="3" borderId="8" xfId="0" applyNumberFormat="1" applyFill="1" applyBorder="1"/>
    <xf numFmtId="0" fontId="0" fillId="3" borderId="4" xfId="0" applyFill="1" applyBorder="1" applyAlignment="1">
      <alignment wrapText="1"/>
    </xf>
    <xf numFmtId="0" fontId="0" fillId="3" borderId="0" xfId="0" applyFill="1" applyBorder="1"/>
    <xf numFmtId="0" fontId="0" fillId="3" borderId="2" xfId="0" applyFill="1" applyBorder="1"/>
    <xf numFmtId="0" fontId="0" fillId="3" borderId="4" xfId="0" applyFont="1" applyFill="1" applyBorder="1" applyAlignment="1">
      <alignment wrapText="1"/>
    </xf>
    <xf numFmtId="0" fontId="0" fillId="3" borderId="5" xfId="0" applyFont="1" applyFill="1" applyBorder="1" applyAlignment="1"/>
    <xf numFmtId="10" fontId="3" fillId="3" borderId="6" xfId="0" applyNumberFormat="1" applyFont="1" applyFill="1" applyBorder="1"/>
    <xf numFmtId="0" fontId="0" fillId="3" borderId="7" xfId="0" applyFont="1" applyFill="1" applyBorder="1" applyAlignment="1"/>
    <xf numFmtId="0" fontId="0" fillId="3" borderId="3" xfId="0" applyFont="1" applyFill="1" applyBorder="1" applyAlignment="1"/>
    <xf numFmtId="10" fontId="2" fillId="3" borderId="9" xfId="0" applyNumberFormat="1" applyFont="1" applyFill="1" applyBorder="1"/>
    <xf numFmtId="0" fontId="0" fillId="0" borderId="0" xfId="0" applyAlignment="1">
      <alignment vertical="top"/>
    </xf>
    <xf numFmtId="165" fontId="0" fillId="3" borderId="0" xfId="0" applyNumberFormat="1" applyFill="1" applyBorder="1" applyAlignment="1">
      <alignment vertical="top"/>
    </xf>
    <xf numFmtId="3" fontId="0" fillId="3" borderId="0" xfId="0" applyNumberFormat="1" applyFill="1" applyBorder="1" applyAlignment="1">
      <alignment horizontal="right" vertical="top"/>
    </xf>
    <xf numFmtId="165" fontId="0" fillId="3" borderId="3" xfId="0" applyNumberFormat="1" applyFill="1" applyBorder="1" applyAlignment="1">
      <alignment vertical="top"/>
    </xf>
    <xf numFmtId="3" fontId="0" fillId="3" borderId="0" xfId="0" applyNumberFormat="1" applyFill="1" applyAlignment="1">
      <alignment vertical="top"/>
    </xf>
    <xf numFmtId="3" fontId="0" fillId="3" borderId="0" xfId="0" applyNumberFormat="1" applyFill="1" applyBorder="1" applyAlignment="1">
      <alignment vertical="top"/>
    </xf>
    <xf numFmtId="0" fontId="0" fillId="3" borderId="0" xfId="0" applyFill="1" applyAlignment="1">
      <alignment vertical="top"/>
    </xf>
    <xf numFmtId="165" fontId="0" fillId="3" borderId="0" xfId="0" applyNumberFormat="1" applyFill="1" applyAlignment="1">
      <alignment vertical="top"/>
    </xf>
    <xf numFmtId="0" fontId="0" fillId="3" borderId="0" xfId="0" applyFill="1"/>
    <xf numFmtId="0" fontId="0" fillId="3" borderId="0" xfId="0" applyFont="1" applyFill="1" applyAlignment="1"/>
    <xf numFmtId="165" fontId="0" fillId="3" borderId="0" xfId="0" applyNumberFormat="1" applyFont="1" applyFill="1" applyAlignment="1">
      <alignment horizontal="right" vertical="top" wrapText="1"/>
    </xf>
    <xf numFmtId="0" fontId="0" fillId="3" borderId="0" xfId="0" applyFont="1" applyFill="1" applyAlignment="1">
      <alignment horizontal="right" vertical="top" wrapText="1"/>
    </xf>
    <xf numFmtId="3" fontId="0" fillId="3" borderId="18" xfId="0" applyNumberFormat="1" applyFont="1" applyFill="1" applyBorder="1" applyAlignment="1">
      <alignment horizontal="center" vertical="center" wrapText="1"/>
    </xf>
    <xf numFmtId="165" fontId="0" fillId="3" borderId="19" xfId="0" applyNumberFormat="1" applyFont="1" applyFill="1" applyBorder="1" applyAlignment="1">
      <alignment horizontal="right" vertical="top" wrapText="1"/>
    </xf>
    <xf numFmtId="165" fontId="0" fillId="3" borderId="8" xfId="0" applyNumberFormat="1" applyFont="1" applyFill="1" applyBorder="1" applyAlignment="1">
      <alignment horizontal="right" vertical="top" wrapText="1"/>
    </xf>
    <xf numFmtId="165" fontId="0" fillId="3" borderId="8" xfId="0" applyNumberFormat="1" applyFill="1" applyBorder="1" applyAlignment="1">
      <alignment vertical="top"/>
    </xf>
    <xf numFmtId="165" fontId="0" fillId="3" borderId="2" xfId="0" applyNumberFormat="1" applyFont="1" applyFill="1" applyBorder="1" applyAlignment="1">
      <alignment horizontal="right" vertical="top" wrapText="1"/>
    </xf>
    <xf numFmtId="0" fontId="0" fillId="3" borderId="0" xfId="0" applyFont="1" applyFill="1" applyBorder="1" applyAlignment="1">
      <alignment horizontal="right" vertical="top" wrapText="1"/>
    </xf>
    <xf numFmtId="0" fontId="0" fillId="3" borderId="8" xfId="0" applyFont="1" applyFill="1" applyBorder="1" applyAlignment="1">
      <alignment horizontal="right" vertical="top" wrapText="1"/>
    </xf>
    <xf numFmtId="165" fontId="0" fillId="3" borderId="0" xfId="0" applyNumberFormat="1" applyFont="1" applyFill="1" applyBorder="1" applyAlignment="1">
      <alignment horizontal="right" vertical="top" wrapText="1"/>
    </xf>
    <xf numFmtId="0" fontId="0" fillId="3" borderId="2" xfId="0" applyFont="1" applyFill="1" applyBorder="1" applyAlignment="1">
      <alignment horizontal="right" vertical="top" wrapText="1"/>
    </xf>
    <xf numFmtId="165" fontId="0" fillId="3" borderId="2" xfId="0" applyNumberFormat="1" applyFill="1" applyBorder="1" applyAlignment="1">
      <alignment horizontal="right" vertical="top"/>
    </xf>
    <xf numFmtId="165" fontId="0" fillId="3" borderId="0" xfId="0" applyNumberFormat="1" applyFill="1" applyBorder="1" applyAlignment="1">
      <alignment horizontal="right" vertical="top"/>
    </xf>
    <xf numFmtId="0" fontId="0" fillId="3" borderId="4" xfId="0" applyFont="1" applyFill="1" applyBorder="1" applyAlignment="1">
      <alignment horizontal="left" vertical="top"/>
    </xf>
    <xf numFmtId="0" fontId="0" fillId="3" borderId="2" xfId="0" applyFont="1" applyFill="1" applyBorder="1" applyAlignment="1">
      <alignment horizontal="left" vertical="top" wrapText="1"/>
    </xf>
    <xf numFmtId="165" fontId="0" fillId="3" borderId="2" xfId="0" applyNumberFormat="1" applyFont="1" applyFill="1" applyBorder="1" applyAlignment="1">
      <alignment horizontal="left" vertical="top" wrapText="1"/>
    </xf>
    <xf numFmtId="0" fontId="2" fillId="3" borderId="2" xfId="0" applyFont="1" applyFill="1" applyBorder="1" applyAlignment="1">
      <alignment vertical="top"/>
    </xf>
    <xf numFmtId="0" fontId="2" fillId="3" borderId="7" xfId="0" applyFont="1" applyFill="1" applyBorder="1" applyAlignment="1">
      <alignment vertical="top"/>
    </xf>
    <xf numFmtId="165" fontId="0" fillId="3" borderId="9" xfId="0" applyNumberFormat="1" applyFill="1" applyBorder="1" applyAlignment="1">
      <alignment vertical="top"/>
    </xf>
    <xf numFmtId="0" fontId="0" fillId="3" borderId="2" xfId="0" applyFont="1" applyFill="1" applyBorder="1" applyAlignment="1">
      <alignment vertical="top"/>
    </xf>
    <xf numFmtId="165" fontId="0" fillId="3" borderId="2" xfId="0" applyNumberFormat="1" applyFill="1" applyBorder="1" applyAlignment="1">
      <alignment horizontal="right"/>
    </xf>
    <xf numFmtId="165" fontId="0" fillId="3" borderId="0" xfId="0" applyNumberFormat="1" applyFill="1" applyBorder="1" applyAlignment="1">
      <alignment horizontal="right"/>
    </xf>
    <xf numFmtId="165" fontId="0" fillId="3" borderId="8" xfId="0" applyNumberFormat="1" applyFill="1" applyBorder="1" applyAlignment="1">
      <alignment horizontal="right"/>
    </xf>
    <xf numFmtId="165" fontId="0" fillId="3" borderId="7" xfId="0" applyNumberFormat="1" applyFill="1" applyBorder="1" applyAlignment="1">
      <alignment horizontal="right"/>
    </xf>
    <xf numFmtId="165" fontId="0" fillId="3" borderId="3" xfId="0" applyNumberFormat="1" applyFill="1" applyBorder="1" applyAlignment="1">
      <alignment horizontal="right"/>
    </xf>
    <xf numFmtId="165" fontId="0" fillId="3" borderId="9" xfId="0" applyNumberFormat="1" applyFill="1" applyBorder="1" applyAlignment="1">
      <alignment horizontal="right"/>
    </xf>
    <xf numFmtId="0" fontId="0" fillId="3" borderId="6" xfId="0" applyFill="1" applyBorder="1" applyAlignment="1">
      <alignment wrapText="1"/>
    </xf>
    <xf numFmtId="167" fontId="0" fillId="3" borderId="0" xfId="0" applyNumberFormat="1" applyFill="1" applyBorder="1"/>
    <xf numFmtId="167" fontId="0" fillId="3" borderId="3" xfId="0" applyNumberFormat="1" applyFill="1" applyBorder="1"/>
    <xf numFmtId="167" fontId="0" fillId="3" borderId="9" xfId="0" applyNumberFormat="1" applyFill="1" applyBorder="1"/>
    <xf numFmtId="0" fontId="0" fillId="4" borderId="7" xfId="0" applyFill="1" applyBorder="1" applyAlignment="1">
      <alignment wrapText="1"/>
    </xf>
    <xf numFmtId="1" fontId="0" fillId="3" borderId="0" xfId="0" applyNumberFormat="1" applyFont="1" applyFill="1" applyAlignment="1">
      <alignment horizontal="right" vertical="top"/>
    </xf>
    <xf numFmtId="1" fontId="0" fillId="3" borderId="4" xfId="0" applyNumberFormat="1" applyFont="1" applyFill="1" applyBorder="1" applyAlignment="1">
      <alignment horizontal="right" vertical="top"/>
    </xf>
    <xf numFmtId="1" fontId="0" fillId="3" borderId="6" xfId="0" applyNumberFormat="1" applyFont="1" applyFill="1" applyBorder="1" applyAlignment="1">
      <alignment horizontal="right" vertical="top"/>
    </xf>
    <xf numFmtId="1" fontId="0" fillId="3" borderId="5" xfId="0" applyNumberFormat="1" applyFont="1" applyFill="1" applyBorder="1" applyAlignment="1">
      <alignment horizontal="right" vertical="top"/>
    </xf>
    <xf numFmtId="0" fontId="0" fillId="3" borderId="4" xfId="0" applyFont="1" applyFill="1" applyBorder="1" applyAlignment="1">
      <alignment vertical="top"/>
    </xf>
    <xf numFmtId="0" fontId="0" fillId="3" borderId="7" xfId="0" applyFont="1" applyFill="1" applyBorder="1" applyAlignment="1">
      <alignment vertical="top"/>
    </xf>
    <xf numFmtId="3" fontId="0" fillId="3" borderId="2" xfId="0" applyNumberFormat="1" applyFill="1" applyBorder="1" applyAlignment="1">
      <alignment vertical="top" wrapText="1"/>
    </xf>
    <xf numFmtId="0" fontId="6" fillId="0" borderId="0" xfId="0" applyFont="1"/>
    <xf numFmtId="0" fontId="12" fillId="0" borderId="0" xfId="0" applyFont="1"/>
    <xf numFmtId="0" fontId="0" fillId="4" borderId="3" xfId="0" applyFill="1" applyBorder="1" applyAlignment="1">
      <alignment horizontal="center" vertical="center" wrapText="1"/>
    </xf>
    <xf numFmtId="0" fontId="0" fillId="4" borderId="9" xfId="0" applyFill="1" applyBorder="1" applyAlignment="1">
      <alignment horizontal="center" vertical="center" wrapText="1"/>
    </xf>
    <xf numFmtId="0" fontId="0" fillId="5" borderId="5" xfId="0" applyFill="1" applyBorder="1" applyAlignment="1">
      <alignment horizontal="center" vertical="center" wrapText="1"/>
    </xf>
    <xf numFmtId="170" fontId="0" fillId="3" borderId="5" xfId="0" applyNumberFormat="1" applyFill="1" applyBorder="1"/>
    <xf numFmtId="170" fontId="0" fillId="3" borderId="6" xfId="0" applyNumberFormat="1" applyFill="1" applyBorder="1"/>
    <xf numFmtId="0" fontId="0" fillId="7" borderId="5" xfId="0" applyFill="1" applyBorder="1" applyAlignment="1">
      <alignment horizontal="center" vertical="center" wrapText="1"/>
    </xf>
    <xf numFmtId="0" fontId="0" fillId="0" borderId="0" xfId="0"/>
    <xf numFmtId="0" fontId="0" fillId="0" borderId="2" xfId="0" applyBorder="1"/>
    <xf numFmtId="0" fontId="0" fillId="0" borderId="7" xfId="0" applyBorder="1"/>
    <xf numFmtId="169" fontId="0" fillId="0" borderId="0" xfId="1" applyNumberFormat="1" applyFont="1"/>
    <xf numFmtId="165" fontId="0" fillId="0" borderId="0" xfId="2" applyNumberFormat="1" applyFont="1" applyBorder="1"/>
    <xf numFmtId="165" fontId="0" fillId="0" borderId="8" xfId="2" applyNumberFormat="1" applyFont="1" applyBorder="1"/>
    <xf numFmtId="165" fontId="0" fillId="0" borderId="3" xfId="2" applyNumberFormat="1" applyFont="1" applyBorder="1"/>
    <xf numFmtId="165" fontId="0" fillId="0" borderId="9" xfId="2" applyNumberFormat="1" applyFont="1" applyBorder="1"/>
    <xf numFmtId="3" fontId="0" fillId="0" borderId="8" xfId="0" applyNumberFormat="1" applyFont="1" applyFill="1" applyBorder="1" applyAlignment="1">
      <alignment horizontal="right" vertical="top"/>
    </xf>
    <xf numFmtId="0" fontId="6" fillId="3" borderId="0" xfId="0" applyFont="1" applyFill="1" applyAlignment="1">
      <alignment vertical="center"/>
    </xf>
    <xf numFmtId="0" fontId="10" fillId="3" borderId="0" xfId="0" applyFont="1" applyFill="1" applyAlignment="1">
      <alignment vertical="top"/>
    </xf>
    <xf numFmtId="0" fontId="0" fillId="3" borderId="0" xfId="0" applyFill="1" applyAlignment="1">
      <alignment vertical="top" wrapText="1"/>
    </xf>
    <xf numFmtId="0" fontId="4" fillId="4" borderId="13" xfId="0" applyFont="1" applyFill="1" applyBorder="1" applyAlignment="1">
      <alignment vertical="top" wrapText="1"/>
    </xf>
    <xf numFmtId="3" fontId="4" fillId="4" borderId="14" xfId="0" applyNumberFormat="1" applyFont="1" applyFill="1" applyBorder="1" applyAlignment="1">
      <alignment vertical="top" wrapText="1"/>
    </xf>
    <xf numFmtId="165" fontId="4" fillId="4" borderId="14" xfId="0" applyNumberFormat="1" applyFont="1" applyFill="1" applyBorder="1" applyAlignment="1">
      <alignment vertical="top" wrapText="1"/>
    </xf>
    <xf numFmtId="0" fontId="4" fillId="4" borderId="14" xfId="0" applyFont="1" applyFill="1" applyBorder="1" applyAlignment="1">
      <alignment vertical="top" wrapText="1"/>
    </xf>
    <xf numFmtId="165" fontId="4" fillId="4" borderId="15" xfId="0" applyNumberFormat="1" applyFont="1" applyFill="1" applyBorder="1" applyAlignment="1">
      <alignment vertical="top" wrapText="1"/>
    </xf>
    <xf numFmtId="3" fontId="0" fillId="5" borderId="4" xfId="0" applyNumberFormat="1" applyFill="1" applyBorder="1" applyAlignment="1">
      <alignment vertical="top" wrapText="1"/>
    </xf>
    <xf numFmtId="3" fontId="0" fillId="5" borderId="5" xfId="0" applyNumberFormat="1" applyFill="1" applyBorder="1" applyAlignment="1">
      <alignment horizontal="right" vertical="top"/>
    </xf>
    <xf numFmtId="165" fontId="0" fillId="5" borderId="5" xfId="0" applyNumberFormat="1" applyFill="1" applyBorder="1" applyAlignment="1">
      <alignment vertical="top"/>
    </xf>
    <xf numFmtId="166" fontId="0" fillId="5" borderId="5" xfId="0" applyNumberFormat="1" applyFill="1" applyBorder="1" applyAlignment="1">
      <alignment vertical="top" wrapText="1"/>
    </xf>
    <xf numFmtId="0" fontId="0" fillId="5" borderId="5" xfId="0" applyFill="1" applyBorder="1" applyAlignment="1">
      <alignment vertical="top" wrapText="1"/>
    </xf>
    <xf numFmtId="0" fontId="0" fillId="5" borderId="6" xfId="0" applyFill="1" applyBorder="1" applyAlignment="1">
      <alignment vertical="top" wrapText="1"/>
    </xf>
    <xf numFmtId="3" fontId="0" fillId="5" borderId="32" xfId="0" applyNumberFormat="1" applyFill="1" applyBorder="1" applyAlignment="1">
      <alignment vertical="top" wrapText="1"/>
    </xf>
    <xf numFmtId="3" fontId="0" fillId="5" borderId="10" xfId="0" applyNumberFormat="1" applyFill="1" applyBorder="1" applyAlignment="1">
      <alignment horizontal="right" vertical="top"/>
    </xf>
    <xf numFmtId="165" fontId="0" fillId="5" borderId="10" xfId="0" applyNumberFormat="1" applyFill="1" applyBorder="1" applyAlignment="1">
      <alignment vertical="top"/>
    </xf>
    <xf numFmtId="0" fontId="0" fillId="5" borderId="10" xfId="0" applyFill="1" applyBorder="1" applyAlignment="1">
      <alignment vertical="top" wrapText="1"/>
    </xf>
    <xf numFmtId="0" fontId="0" fillId="5" borderId="11" xfId="0" applyFill="1" applyBorder="1" applyAlignment="1">
      <alignment vertical="top" wrapText="1"/>
    </xf>
    <xf numFmtId="3" fontId="0" fillId="5" borderId="2" xfId="0" applyNumberFormat="1" applyFill="1" applyBorder="1" applyAlignment="1">
      <alignment vertical="top" wrapText="1"/>
    </xf>
    <xf numFmtId="165" fontId="0" fillId="5" borderId="0" xfId="0" applyNumberFormat="1" applyFill="1" applyBorder="1" applyAlignment="1">
      <alignment vertical="top"/>
    </xf>
    <xf numFmtId="0" fontId="0" fillId="5" borderId="8" xfId="0" applyFill="1" applyBorder="1" applyAlignment="1">
      <alignment vertical="top" wrapText="1"/>
    </xf>
    <xf numFmtId="3" fontId="0" fillId="6" borderId="32" xfId="0" applyNumberFormat="1" applyFill="1" applyBorder="1" applyAlignment="1">
      <alignment vertical="top" wrapText="1"/>
    </xf>
    <xf numFmtId="3" fontId="0" fillId="6" borderId="10" xfId="0" applyNumberFormat="1" applyFill="1" applyBorder="1" applyAlignment="1">
      <alignment horizontal="right" vertical="top"/>
    </xf>
    <xf numFmtId="165" fontId="0" fillId="6" borderId="10" xfId="0" applyNumberFormat="1" applyFill="1" applyBorder="1" applyAlignment="1">
      <alignment vertical="top"/>
    </xf>
    <xf numFmtId="166" fontId="0" fillId="6" borderId="10" xfId="0" applyNumberFormat="1" applyFill="1" applyBorder="1" applyAlignment="1">
      <alignment vertical="top" wrapText="1"/>
    </xf>
    <xf numFmtId="0" fontId="0" fillId="6" borderId="10" xfId="0" applyFill="1" applyBorder="1" applyAlignment="1">
      <alignment vertical="top" wrapText="1"/>
    </xf>
    <xf numFmtId="0" fontId="0" fillId="6" borderId="10" xfId="0" applyFill="1" applyBorder="1" applyAlignment="1">
      <alignment vertical="top"/>
    </xf>
    <xf numFmtId="0" fontId="0" fillId="6" borderId="11" xfId="0" applyFill="1" applyBorder="1" applyAlignment="1">
      <alignment vertical="top" wrapText="1"/>
    </xf>
    <xf numFmtId="3" fontId="0" fillId="6" borderId="2" xfId="0" applyNumberFormat="1" applyFill="1" applyBorder="1" applyAlignment="1">
      <alignment vertical="top" wrapText="1"/>
    </xf>
    <xf numFmtId="3" fontId="0" fillId="6" borderId="0" xfId="0" applyNumberFormat="1" applyFill="1" applyBorder="1" applyAlignment="1">
      <alignment horizontal="right" vertical="top"/>
    </xf>
    <xf numFmtId="165" fontId="0" fillId="6" borderId="0" xfId="0" applyNumberFormat="1" applyFill="1" applyBorder="1" applyAlignment="1">
      <alignment horizontal="right" vertical="top"/>
    </xf>
    <xf numFmtId="165" fontId="0" fillId="6" borderId="0" xfId="0" applyNumberFormat="1" applyFill="1" applyBorder="1" applyAlignment="1">
      <alignment vertical="top"/>
    </xf>
    <xf numFmtId="0" fontId="0" fillId="6" borderId="0" xfId="0" applyFill="1" applyBorder="1" applyAlignment="1">
      <alignment vertical="top" wrapText="1"/>
    </xf>
    <xf numFmtId="0" fontId="0" fillId="6" borderId="0" xfId="0" applyFill="1" applyBorder="1" applyAlignment="1">
      <alignment vertical="top"/>
    </xf>
    <xf numFmtId="0" fontId="0" fillId="6" borderId="8" xfId="0" applyFill="1" applyBorder="1" applyAlignment="1">
      <alignment vertical="top" wrapText="1"/>
    </xf>
    <xf numFmtId="165" fontId="0" fillId="6" borderId="10" xfId="0" applyNumberFormat="1" applyFill="1" applyBorder="1" applyAlignment="1">
      <alignment horizontal="right" vertical="top"/>
    </xf>
    <xf numFmtId="0" fontId="4" fillId="8" borderId="13" xfId="0" applyFont="1" applyFill="1" applyBorder="1" applyAlignment="1">
      <alignment vertical="top" wrapText="1"/>
    </xf>
    <xf numFmtId="3" fontId="0" fillId="8" borderId="2" xfId="0" applyNumberFormat="1" applyFill="1" applyBorder="1" applyAlignment="1">
      <alignment vertical="top" wrapText="1"/>
    </xf>
    <xf numFmtId="3" fontId="0" fillId="8" borderId="0" xfId="0" applyNumberFormat="1" applyFill="1" applyBorder="1" applyAlignment="1">
      <alignment horizontal="right" vertical="top"/>
    </xf>
    <xf numFmtId="165" fontId="10" fillId="8" borderId="0" xfId="0" applyNumberFormat="1" applyFont="1" applyFill="1" applyBorder="1" applyAlignment="1">
      <alignment horizontal="right" vertical="top" wrapText="1"/>
    </xf>
    <xf numFmtId="165" fontId="0" fillId="8" borderId="0" xfId="0" applyNumberFormat="1" applyFill="1" applyBorder="1" applyAlignment="1">
      <alignment vertical="top"/>
    </xf>
    <xf numFmtId="0" fontId="0" fillId="8" borderId="0" xfId="0" applyFill="1" applyBorder="1" applyAlignment="1">
      <alignment vertical="top" wrapText="1"/>
    </xf>
    <xf numFmtId="0" fontId="0" fillId="8" borderId="8" xfId="0" applyFill="1" applyBorder="1" applyAlignment="1">
      <alignment vertical="top" wrapText="1"/>
    </xf>
    <xf numFmtId="3" fontId="0" fillId="9" borderId="32" xfId="0" applyNumberFormat="1" applyFill="1" applyBorder="1" applyAlignment="1">
      <alignment vertical="top" wrapText="1"/>
    </xf>
    <xf numFmtId="3" fontId="0" fillId="9" borderId="10" xfId="0" applyNumberFormat="1" applyFill="1" applyBorder="1" applyAlignment="1">
      <alignment horizontal="right" vertical="top"/>
    </xf>
    <xf numFmtId="165" fontId="10" fillId="9" borderId="10" xfId="0" applyNumberFormat="1" applyFont="1" applyFill="1" applyBorder="1" applyAlignment="1">
      <alignment horizontal="right" vertical="top"/>
    </xf>
    <xf numFmtId="165" fontId="10" fillId="9" borderId="10" xfId="0" applyNumberFormat="1" applyFont="1" applyFill="1" applyBorder="1" applyAlignment="1">
      <alignment horizontal="right" vertical="top" wrapText="1"/>
    </xf>
    <xf numFmtId="165" fontId="0" fillId="9" borderId="10" xfId="0" applyNumberFormat="1" applyFill="1" applyBorder="1" applyAlignment="1">
      <alignment horizontal="right" vertical="top" wrapText="1"/>
    </xf>
    <xf numFmtId="0" fontId="0" fillId="9" borderId="10" xfId="0" applyFill="1" applyBorder="1" applyAlignment="1">
      <alignment vertical="top" wrapText="1"/>
    </xf>
    <xf numFmtId="0" fontId="0" fillId="9" borderId="11" xfId="0" applyFill="1" applyBorder="1" applyAlignment="1">
      <alignment vertical="top" wrapText="1"/>
    </xf>
    <xf numFmtId="3" fontId="0" fillId="9" borderId="2" xfId="0" applyNumberFormat="1" applyFill="1" applyBorder="1" applyAlignment="1">
      <alignment vertical="top" wrapText="1"/>
    </xf>
    <xf numFmtId="3" fontId="0" fillId="9" borderId="0" xfId="0" applyNumberFormat="1" applyFill="1" applyBorder="1" applyAlignment="1">
      <alignment horizontal="right" vertical="top"/>
    </xf>
    <xf numFmtId="165" fontId="10" fillId="9" borderId="0" xfId="0" applyNumberFormat="1" applyFont="1" applyFill="1" applyBorder="1" applyAlignment="1">
      <alignment horizontal="right" vertical="top"/>
    </xf>
    <xf numFmtId="165" fontId="11" fillId="9" borderId="0" xfId="0" applyNumberFormat="1" applyFont="1" applyFill="1" applyBorder="1" applyAlignment="1">
      <alignment horizontal="right" vertical="top" wrapText="1"/>
    </xf>
    <xf numFmtId="0" fontId="0" fillId="9" borderId="0" xfId="0" applyFill="1" applyBorder="1" applyAlignment="1">
      <alignment vertical="top" wrapText="1"/>
    </xf>
    <xf numFmtId="0" fontId="4" fillId="10" borderId="4" xfId="0" applyFont="1" applyFill="1" applyBorder="1" applyAlignment="1">
      <alignment vertical="top" wrapText="1"/>
    </xf>
    <xf numFmtId="3" fontId="0" fillId="10" borderId="32" xfId="0" applyNumberFormat="1" applyFill="1" applyBorder="1" applyAlignment="1">
      <alignment vertical="top" wrapText="1"/>
    </xf>
    <xf numFmtId="3" fontId="0" fillId="10" borderId="10" xfId="0" applyNumberFormat="1" applyFill="1" applyBorder="1" applyAlignment="1">
      <alignment vertical="top"/>
    </xf>
    <xf numFmtId="165" fontId="10" fillId="10" borderId="10" xfId="0" applyNumberFormat="1" applyFont="1" applyFill="1" applyBorder="1" applyAlignment="1">
      <alignment vertical="top"/>
    </xf>
    <xf numFmtId="165" fontId="0" fillId="10" borderId="10" xfId="0" applyNumberFormat="1" applyFill="1" applyBorder="1" applyAlignment="1">
      <alignment vertical="top"/>
    </xf>
    <xf numFmtId="0" fontId="0" fillId="10" borderId="10" xfId="0" applyFill="1" applyBorder="1" applyAlignment="1">
      <alignment vertical="top" wrapText="1"/>
    </xf>
    <xf numFmtId="0" fontId="4" fillId="10" borderId="2" xfId="0" applyFont="1" applyFill="1" applyBorder="1" applyAlignment="1">
      <alignment vertical="top" wrapText="1"/>
    </xf>
    <xf numFmtId="3" fontId="0" fillId="10" borderId="2" xfId="0" applyNumberFormat="1" applyFill="1" applyBorder="1" applyAlignment="1">
      <alignment vertical="top" wrapText="1"/>
    </xf>
    <xf numFmtId="3" fontId="0" fillId="10" borderId="0" xfId="0" applyNumberFormat="1" applyFill="1" applyBorder="1" applyAlignment="1">
      <alignment vertical="top"/>
    </xf>
    <xf numFmtId="165" fontId="10" fillId="10" borderId="0" xfId="0" applyNumberFormat="1" applyFont="1" applyFill="1" applyBorder="1" applyAlignment="1">
      <alignment vertical="top"/>
    </xf>
    <xf numFmtId="165" fontId="0" fillId="10" borderId="0" xfId="0" applyNumberFormat="1" applyFill="1" applyBorder="1" applyAlignment="1">
      <alignment vertical="top"/>
    </xf>
    <xf numFmtId="0" fontId="0" fillId="10" borderId="0" xfId="0" applyFill="1" applyBorder="1" applyAlignment="1">
      <alignment vertical="top" wrapText="1"/>
    </xf>
    <xf numFmtId="0" fontId="0" fillId="10" borderId="7" xfId="0" applyFill="1" applyBorder="1" applyAlignment="1">
      <alignment vertical="top" wrapText="1"/>
    </xf>
    <xf numFmtId="3" fontId="0" fillId="10" borderId="7" xfId="0" applyNumberFormat="1" applyFill="1" applyBorder="1" applyAlignment="1">
      <alignment vertical="top" wrapText="1"/>
    </xf>
    <xf numFmtId="3" fontId="0" fillId="10" borderId="3" xfId="0" applyNumberFormat="1" applyFill="1" applyBorder="1" applyAlignment="1">
      <alignment vertical="top"/>
    </xf>
    <xf numFmtId="165" fontId="10" fillId="10" borderId="3" xfId="0" applyNumberFormat="1" applyFont="1" applyFill="1" applyBorder="1" applyAlignment="1">
      <alignment vertical="top"/>
    </xf>
    <xf numFmtId="165" fontId="0" fillId="10" borderId="3" xfId="0" applyNumberFormat="1" applyFill="1" applyBorder="1" applyAlignment="1">
      <alignment vertical="top"/>
    </xf>
    <xf numFmtId="0" fontId="0" fillId="10" borderId="3" xfId="0" applyFill="1" applyBorder="1" applyAlignment="1">
      <alignment vertical="top" wrapText="1"/>
    </xf>
    <xf numFmtId="0" fontId="0" fillId="3" borderId="0" xfId="0" applyFill="1" applyAlignment="1">
      <alignment wrapText="1"/>
    </xf>
    <xf numFmtId="0" fontId="14" fillId="0" borderId="0" xfId="0" applyFont="1"/>
    <xf numFmtId="165" fontId="0" fillId="3" borderId="2" xfId="0" applyNumberFormat="1" applyFill="1" applyBorder="1" applyAlignment="1">
      <alignment vertical="top"/>
    </xf>
    <xf numFmtId="165" fontId="0" fillId="3" borderId="7" xfId="0" applyNumberFormat="1" applyFill="1" applyBorder="1" applyAlignment="1">
      <alignment vertical="top"/>
    </xf>
    <xf numFmtId="3" fontId="0" fillId="3" borderId="7" xfId="0" applyNumberFormat="1" applyFill="1" applyBorder="1" applyAlignment="1">
      <alignment vertical="top" wrapText="1"/>
    </xf>
    <xf numFmtId="3" fontId="0" fillId="3" borderId="9" xfId="0" applyNumberFormat="1" applyFont="1" applyFill="1" applyBorder="1" applyAlignment="1">
      <alignment horizontal="right" vertical="top"/>
    </xf>
    <xf numFmtId="3" fontId="0" fillId="3" borderId="28" xfId="0" applyNumberFormat="1" applyFill="1" applyBorder="1" applyAlignment="1">
      <alignment horizontal="right" vertical="top"/>
    </xf>
    <xf numFmtId="3" fontId="0" fillId="3" borderId="22" xfId="0" applyNumberFormat="1" applyFill="1" applyBorder="1" applyAlignment="1">
      <alignment horizontal="right" vertical="top"/>
    </xf>
    <xf numFmtId="3" fontId="0" fillId="3" borderId="23" xfId="0" applyNumberFormat="1" applyFill="1" applyBorder="1" applyAlignment="1">
      <alignment horizontal="right" vertical="top"/>
    </xf>
    <xf numFmtId="0" fontId="4" fillId="0" borderId="0" xfId="0" applyFont="1"/>
    <xf numFmtId="171" fontId="9" fillId="5" borderId="30" xfId="24" applyNumberFormat="1" applyFill="1" applyBorder="1" applyProtection="1">
      <protection locked="0"/>
    </xf>
    <xf numFmtId="171" fontId="9" fillId="5" borderId="31" xfId="24" applyNumberFormat="1" applyFill="1" applyBorder="1" applyProtection="1">
      <protection locked="0"/>
    </xf>
    <xf numFmtId="0" fontId="0" fillId="0" borderId="4" xfId="0" applyBorder="1"/>
    <xf numFmtId="0" fontId="2" fillId="3" borderId="5" xfId="0" applyFont="1" applyFill="1" applyBorder="1" applyAlignment="1">
      <alignment wrapText="1"/>
    </xf>
    <xf numFmtId="0" fontId="2" fillId="3" borderId="5" xfId="0" applyFont="1" applyFill="1" applyBorder="1" applyAlignment="1"/>
    <xf numFmtId="0" fontId="2" fillId="3" borderId="6" xfId="0" applyFont="1" applyFill="1" applyBorder="1" applyAlignment="1"/>
    <xf numFmtId="0" fontId="0" fillId="3" borderId="2" xfId="0" applyFont="1" applyFill="1" applyBorder="1" applyAlignment="1">
      <alignment horizontal="left"/>
    </xf>
    <xf numFmtId="0" fontId="0" fillId="0" borderId="0" xfId="0" applyBorder="1"/>
    <xf numFmtId="3" fontId="2" fillId="3" borderId="8" xfId="0" applyNumberFormat="1" applyFont="1" applyFill="1" applyBorder="1"/>
    <xf numFmtId="165" fontId="2" fillId="3" borderId="8" xfId="0" applyNumberFormat="1" applyFont="1" applyFill="1" applyBorder="1"/>
    <xf numFmtId="166" fontId="2" fillId="3" borderId="8" xfId="0" applyNumberFormat="1" applyFont="1" applyFill="1" applyBorder="1"/>
    <xf numFmtId="164" fontId="2" fillId="3" borderId="8" xfId="0" applyNumberFormat="1" applyFont="1" applyFill="1" applyBorder="1"/>
    <xf numFmtId="0" fontId="0" fillId="3" borderId="7" xfId="0" applyFont="1" applyFill="1" applyBorder="1" applyAlignment="1">
      <alignment horizontal="left"/>
    </xf>
    <xf numFmtId="0" fontId="0" fillId="0" borderId="3" xfId="0" applyBorder="1"/>
    <xf numFmtId="166" fontId="2" fillId="3" borderId="3" xfId="0" applyNumberFormat="1" applyFont="1" applyFill="1" applyBorder="1" applyAlignment="1"/>
    <xf numFmtId="0" fontId="0" fillId="0" borderId="0" xfId="0" applyFont="1" applyFill="1" applyBorder="1" applyAlignment="1"/>
    <xf numFmtId="0" fontId="0" fillId="5" borderId="0" xfId="0" applyFill="1" applyBorder="1" applyAlignment="1">
      <alignment vertical="top" wrapText="1"/>
    </xf>
    <xf numFmtId="0" fontId="0" fillId="11" borderId="1" xfId="0" applyFill="1" applyBorder="1" applyAlignment="1">
      <alignment horizontal="center" vertical="center" wrapText="1"/>
    </xf>
    <xf numFmtId="1" fontId="0" fillId="3" borderId="4" xfId="0" applyNumberFormat="1" applyFont="1" applyFill="1" applyBorder="1" applyAlignment="1">
      <alignment horizontal="left" vertical="top"/>
    </xf>
    <xf numFmtId="3" fontId="0" fillId="3" borderId="2" xfId="0" applyNumberFormat="1" applyFont="1" applyFill="1" applyBorder="1" applyAlignment="1">
      <alignment horizontal="right" vertical="top" wrapText="1"/>
    </xf>
    <xf numFmtId="3" fontId="0" fillId="3" borderId="0" xfId="0" applyNumberFormat="1" applyFont="1" applyFill="1" applyBorder="1" applyAlignment="1">
      <alignment horizontal="right" vertical="top" wrapText="1"/>
    </xf>
    <xf numFmtId="168" fontId="0" fillId="3" borderId="8" xfId="0" applyNumberFormat="1" applyFill="1" applyBorder="1" applyAlignment="1">
      <alignment horizontal="right" vertical="top"/>
    </xf>
    <xf numFmtId="0" fontId="7" fillId="3" borderId="0" xfId="0" applyFont="1" applyFill="1"/>
    <xf numFmtId="0" fontId="7" fillId="3" borderId="0" xfId="0" applyFont="1" applyFill="1" applyAlignment="1">
      <alignment wrapText="1"/>
    </xf>
    <xf numFmtId="0" fontId="6" fillId="3" borderId="0" xfId="0" applyFont="1" applyFill="1" applyAlignment="1">
      <alignment wrapText="1"/>
    </xf>
    <xf numFmtId="0" fontId="7" fillId="3" borderId="0" xfId="0" applyFont="1" applyFill="1" applyAlignment="1">
      <alignment vertical="top" wrapText="1"/>
    </xf>
    <xf numFmtId="0" fontId="6" fillId="3" borderId="0" xfId="0" applyFont="1" applyFill="1" applyAlignment="1">
      <alignment vertical="top" wrapText="1"/>
    </xf>
    <xf numFmtId="0" fontId="7" fillId="0" borderId="0" xfId="0" applyFont="1" applyAlignment="1">
      <alignment wrapText="1"/>
    </xf>
    <xf numFmtId="0" fontId="7" fillId="5" borderId="0" xfId="0" applyFont="1" applyFill="1" applyAlignment="1">
      <alignment vertical="top" wrapText="1"/>
    </xf>
    <xf numFmtId="0" fontId="7" fillId="6" borderId="0" xfId="0" applyFont="1" applyFill="1" applyAlignment="1">
      <alignment vertical="top" wrapText="1"/>
    </xf>
    <xf numFmtId="0" fontId="7" fillId="8" borderId="0" xfId="0" applyFont="1" applyFill="1" applyAlignment="1">
      <alignment vertical="top" wrapText="1"/>
    </xf>
    <xf numFmtId="0" fontId="7" fillId="9" borderId="0" xfId="0" applyFont="1" applyFill="1" applyAlignment="1">
      <alignment vertical="top" wrapText="1"/>
    </xf>
    <xf numFmtId="0" fontId="7" fillId="10" borderId="0" xfId="0" applyFont="1" applyFill="1" applyAlignment="1">
      <alignment vertical="top" wrapText="1"/>
    </xf>
    <xf numFmtId="0" fontId="15" fillId="3" borderId="0" xfId="101" applyFill="1" applyAlignment="1">
      <alignment wrapText="1"/>
    </xf>
    <xf numFmtId="0" fontId="4" fillId="11" borderId="1" xfId="0" applyFont="1" applyFill="1" applyBorder="1" applyAlignment="1">
      <alignment horizontal="center" vertical="center" wrapText="1"/>
    </xf>
    <xf numFmtId="0" fontId="0" fillId="5" borderId="0" xfId="0" applyFill="1" applyBorder="1" applyAlignment="1">
      <alignment vertical="top" wrapText="1"/>
    </xf>
    <xf numFmtId="1" fontId="0" fillId="3" borderId="18" xfId="0" applyNumberFormat="1" applyFont="1" applyFill="1" applyBorder="1" applyAlignment="1">
      <alignment horizontal="right" vertical="top"/>
    </xf>
    <xf numFmtId="165" fontId="0" fillId="3" borderId="19" xfId="0" applyNumberFormat="1" applyFill="1" applyBorder="1" applyAlignment="1">
      <alignment vertical="top"/>
    </xf>
    <xf numFmtId="165" fontId="0" fillId="3" borderId="37" xfId="0" applyNumberFormat="1" applyFill="1" applyBorder="1" applyAlignment="1">
      <alignment vertical="top"/>
    </xf>
    <xf numFmtId="165" fontId="0" fillId="3" borderId="2" xfId="0" applyNumberFormat="1" applyFill="1" applyBorder="1"/>
    <xf numFmtId="165" fontId="0" fillId="3" borderId="8" xfId="0" applyNumberFormat="1" applyFill="1" applyBorder="1"/>
    <xf numFmtId="165" fontId="0" fillId="3" borderId="0" xfId="0" applyNumberFormat="1" applyFill="1" applyAlignment="1">
      <alignment wrapText="1"/>
    </xf>
    <xf numFmtId="0" fontId="4" fillId="3" borderId="0" xfId="0" applyFont="1" applyFill="1" applyAlignment="1">
      <alignment wrapText="1"/>
    </xf>
    <xf numFmtId="166" fontId="0" fillId="5" borderId="38" xfId="0" applyNumberFormat="1" applyFill="1" applyBorder="1" applyAlignment="1">
      <alignment vertical="top" wrapText="1"/>
    </xf>
    <xf numFmtId="166" fontId="0" fillId="5" borderId="10" xfId="0" applyNumberFormat="1" applyFill="1" applyBorder="1" applyAlignment="1">
      <alignment vertical="top" wrapText="1"/>
    </xf>
    <xf numFmtId="0" fontId="0" fillId="10" borderId="11" xfId="0" applyFill="1" applyBorder="1" applyAlignment="1">
      <alignment vertical="top" wrapText="1"/>
    </xf>
    <xf numFmtId="0" fontId="0" fillId="10" borderId="23" xfId="0" applyFill="1" applyBorder="1" applyAlignment="1">
      <alignment vertical="top" wrapText="1"/>
    </xf>
    <xf numFmtId="165" fontId="10" fillId="5" borderId="0" xfId="0" applyNumberFormat="1" applyFont="1" applyFill="1" applyBorder="1" applyAlignment="1">
      <alignment vertical="top"/>
    </xf>
    <xf numFmtId="3" fontId="10" fillId="5" borderId="0" xfId="0" applyNumberFormat="1" applyFont="1" applyFill="1" applyBorder="1" applyAlignment="1">
      <alignment horizontal="right" vertical="top"/>
    </xf>
    <xf numFmtId="3" fontId="0" fillId="3" borderId="0" xfId="0" applyNumberFormat="1" applyFill="1"/>
    <xf numFmtId="166" fontId="10" fillId="10" borderId="0" xfId="0" applyNumberFormat="1" applyFont="1" applyFill="1" applyBorder="1" applyAlignment="1">
      <alignment vertical="top"/>
    </xf>
    <xf numFmtId="166" fontId="10" fillId="10" borderId="10" xfId="0" applyNumberFormat="1" applyFont="1" applyFill="1" applyBorder="1" applyAlignment="1">
      <alignment vertical="top"/>
    </xf>
    <xf numFmtId="3" fontId="0" fillId="8" borderId="32" xfId="0" applyNumberFormat="1" applyFill="1" applyBorder="1" applyAlignment="1">
      <alignment vertical="top" wrapText="1"/>
    </xf>
    <xf numFmtId="3" fontId="0" fillId="8" borderId="10" xfId="0" applyNumberFormat="1" applyFill="1" applyBorder="1" applyAlignment="1">
      <alignment horizontal="right" vertical="top"/>
    </xf>
    <xf numFmtId="165" fontId="0" fillId="8" borderId="10" xfId="0" applyNumberFormat="1" applyFill="1" applyBorder="1" applyAlignment="1">
      <alignment vertical="top"/>
    </xf>
    <xf numFmtId="0" fontId="0" fillId="8" borderId="10" xfId="0" applyFill="1" applyBorder="1" applyAlignment="1">
      <alignment vertical="top" wrapText="1"/>
    </xf>
    <xf numFmtId="0" fontId="0" fillId="8" borderId="11" xfId="0" applyFill="1" applyBorder="1" applyAlignment="1">
      <alignment vertical="top" wrapText="1"/>
    </xf>
    <xf numFmtId="165" fontId="10" fillId="8" borderId="10" xfId="0" applyNumberFormat="1" applyFont="1" applyFill="1" applyBorder="1" applyAlignment="1">
      <alignment horizontal="right" vertical="top"/>
    </xf>
    <xf numFmtId="166" fontId="10" fillId="8" borderId="0" xfId="0" applyNumberFormat="1" applyFont="1" applyFill="1" applyBorder="1" applyAlignment="1">
      <alignment horizontal="right" vertical="top" wrapText="1"/>
    </xf>
    <xf numFmtId="3" fontId="0" fillId="0" borderId="0" xfId="0" applyNumberFormat="1" applyFont="1" applyFill="1" applyBorder="1" applyAlignment="1">
      <alignment horizontal="right" vertical="top"/>
    </xf>
    <xf numFmtId="3" fontId="0" fillId="3" borderId="0" xfId="0" applyNumberFormat="1" applyFont="1" applyFill="1" applyBorder="1" applyAlignment="1">
      <alignment horizontal="right" vertical="top"/>
    </xf>
    <xf numFmtId="0" fontId="4" fillId="11" borderId="40" xfId="0" applyFont="1" applyFill="1" applyBorder="1" applyAlignment="1">
      <alignment horizontal="center" vertical="center" wrapText="1"/>
    </xf>
    <xf numFmtId="3" fontId="9" fillId="5" borderId="20" xfId="24" applyNumberFormat="1" applyFill="1" applyBorder="1" applyProtection="1">
      <protection locked="0"/>
    </xf>
    <xf numFmtId="9" fontId="9" fillId="5" borderId="20" xfId="24" applyNumberFormat="1" applyFill="1" applyBorder="1" applyProtection="1">
      <protection locked="0"/>
    </xf>
    <xf numFmtId="166" fontId="10" fillId="8" borderId="10" xfId="0" applyNumberFormat="1" applyFont="1" applyFill="1" applyBorder="1" applyAlignment="1">
      <alignment horizontal="right" vertical="top"/>
    </xf>
    <xf numFmtId="165" fontId="4" fillId="3" borderId="0" xfId="0" applyNumberFormat="1" applyFont="1" applyFill="1" applyBorder="1" applyAlignment="1">
      <alignment horizontal="center" vertical="center" wrapText="1"/>
    </xf>
    <xf numFmtId="3" fontId="7" fillId="3" borderId="0" xfId="0" applyNumberFormat="1" applyFont="1" applyFill="1" applyBorder="1" applyAlignment="1">
      <alignment horizontal="right" vertical="top"/>
    </xf>
    <xf numFmtId="166" fontId="0" fillId="3" borderId="0" xfId="0" applyNumberFormat="1" applyFill="1" applyBorder="1" applyAlignment="1">
      <alignment vertical="top"/>
    </xf>
    <xf numFmtId="166" fontId="0" fillId="3" borderId="0" xfId="0" applyNumberFormat="1" applyFill="1" applyAlignment="1">
      <alignment vertical="top"/>
    </xf>
    <xf numFmtId="165" fontId="0" fillId="3" borderId="0" xfId="0" applyNumberFormat="1" applyFill="1"/>
    <xf numFmtId="166" fontId="0" fillId="3" borderId="3" xfId="0" applyNumberFormat="1" applyFill="1" applyBorder="1" applyAlignment="1">
      <alignment vertical="top"/>
    </xf>
    <xf numFmtId="3" fontId="7" fillId="3" borderId="0" xfId="0" applyNumberFormat="1" applyFont="1" applyFill="1" applyBorder="1" applyAlignment="1">
      <alignment vertical="top" wrapText="1"/>
    </xf>
    <xf numFmtId="165" fontId="7" fillId="3" borderId="0" xfId="0" applyNumberFormat="1" applyFont="1" applyFill="1" applyBorder="1" applyAlignment="1">
      <alignment vertical="top"/>
    </xf>
    <xf numFmtId="3" fontId="0" fillId="3" borderId="0" xfId="0" applyNumberFormat="1" applyFont="1" applyFill="1" applyBorder="1" applyAlignment="1">
      <alignment vertical="top" wrapText="1"/>
    </xf>
    <xf numFmtId="0" fontId="0" fillId="3" borderId="27" xfId="0" applyFill="1" applyBorder="1" applyAlignment="1">
      <alignment horizontal="center" vertical="center" wrapText="1"/>
    </xf>
    <xf numFmtId="165" fontId="0" fillId="0" borderId="41" xfId="0" applyNumberFormat="1" applyBorder="1"/>
    <xf numFmtId="3" fontId="0" fillId="3" borderId="42" xfId="0" applyNumberFormat="1" applyFill="1" applyBorder="1" applyAlignment="1">
      <alignment vertical="top" wrapText="1"/>
    </xf>
    <xf numFmtId="3" fontId="0" fillId="4" borderId="13" xfId="0" applyNumberFormat="1" applyFont="1" applyFill="1" applyBorder="1" applyAlignment="1">
      <alignment horizontal="left" wrapText="1"/>
    </xf>
    <xf numFmtId="3" fontId="0" fillId="4" borderId="14" xfId="0" applyNumberFormat="1" applyFont="1" applyFill="1" applyBorder="1" applyAlignment="1">
      <alignment horizontal="center" wrapText="1"/>
    </xf>
    <xf numFmtId="165" fontId="0" fillId="4" borderId="14" xfId="0" applyNumberFormat="1" applyFont="1" applyFill="1" applyBorder="1" applyAlignment="1">
      <alignment horizontal="center" wrapText="1"/>
    </xf>
    <xf numFmtId="165" fontId="0" fillId="4" borderId="15" xfId="0" applyNumberFormat="1" applyFont="1" applyFill="1" applyBorder="1" applyAlignment="1">
      <alignment horizontal="center" wrapText="1"/>
    </xf>
    <xf numFmtId="3" fontId="0" fillId="3" borderId="2" xfId="0" applyNumberFormat="1" applyFont="1" applyFill="1" applyBorder="1" applyAlignment="1">
      <alignment vertical="top" wrapText="1"/>
    </xf>
    <xf numFmtId="165" fontId="0" fillId="0" borderId="0" xfId="0" applyNumberFormat="1" applyFont="1" applyFill="1" applyBorder="1" applyAlignment="1">
      <alignment vertical="top"/>
    </xf>
    <xf numFmtId="3" fontId="0" fillId="0" borderId="2" xfId="0" applyNumberFormat="1" applyFont="1" applyFill="1" applyBorder="1" applyAlignment="1">
      <alignment vertical="top" wrapText="1"/>
    </xf>
    <xf numFmtId="3" fontId="0" fillId="3" borderId="7" xfId="0" applyNumberFormat="1" applyFont="1" applyFill="1" applyBorder="1" applyAlignment="1">
      <alignment vertical="top" wrapText="1"/>
    </xf>
    <xf numFmtId="3" fontId="0" fillId="3" borderId="3" xfId="0" applyNumberFormat="1" applyFont="1" applyFill="1" applyBorder="1" applyAlignment="1">
      <alignment horizontal="right" vertical="top"/>
    </xf>
    <xf numFmtId="165" fontId="0" fillId="3" borderId="3" xfId="0" applyNumberFormat="1" applyFont="1" applyFill="1" applyBorder="1" applyAlignment="1">
      <alignment vertical="top"/>
    </xf>
    <xf numFmtId="0" fontId="4" fillId="3" borderId="0" xfId="0" applyFont="1" applyFill="1"/>
    <xf numFmtId="0" fontId="4" fillId="4" borderId="12" xfId="0" applyFont="1" applyFill="1" applyBorder="1" applyAlignment="1">
      <alignment horizontal="right" wrapText="1"/>
    </xf>
    <xf numFmtId="0" fontId="4" fillId="4" borderId="17" xfId="0" applyFont="1" applyFill="1" applyBorder="1" applyAlignment="1">
      <alignment horizontal="right" wrapText="1"/>
    </xf>
    <xf numFmtId="0" fontId="4" fillId="4" borderId="21" xfId="0" applyFont="1" applyFill="1" applyBorder="1" applyAlignment="1">
      <alignment horizontal="left" wrapText="1"/>
    </xf>
    <xf numFmtId="9" fontId="7" fillId="3" borderId="0" xfId="0" applyNumberFormat="1" applyFont="1" applyFill="1" applyBorder="1" applyAlignment="1">
      <alignment horizontal="right" vertical="top"/>
    </xf>
    <xf numFmtId="172" fontId="4" fillId="10" borderId="2" xfId="0" applyNumberFormat="1" applyFont="1" applyFill="1" applyBorder="1" applyAlignment="1">
      <alignment vertical="top" wrapText="1"/>
    </xf>
    <xf numFmtId="165" fontId="0" fillId="0" borderId="0" xfId="0" applyNumberFormat="1" applyBorder="1"/>
    <xf numFmtId="9" fontId="7" fillId="3" borderId="0" xfId="0" applyNumberFormat="1" applyFont="1" applyFill="1" applyBorder="1" applyAlignment="1">
      <alignment vertical="top"/>
    </xf>
    <xf numFmtId="0" fontId="4" fillId="5" borderId="2" xfId="0" applyFont="1" applyFill="1" applyBorder="1" applyAlignment="1">
      <alignment vertical="top" wrapText="1"/>
    </xf>
    <xf numFmtId="0" fontId="4" fillId="6" borderId="4" xfId="0" applyFont="1" applyFill="1" applyBorder="1" applyAlignment="1">
      <alignment vertical="top" wrapText="1"/>
    </xf>
    <xf numFmtId="0" fontId="4" fillId="6" borderId="2" xfId="0" applyFont="1" applyFill="1" applyBorder="1" applyAlignment="1">
      <alignment vertical="top" wrapText="1"/>
    </xf>
    <xf numFmtId="0" fontId="4" fillId="6" borderId="7" xfId="0" applyFont="1" applyFill="1" applyBorder="1" applyAlignment="1">
      <alignment vertical="top" wrapText="1"/>
    </xf>
    <xf numFmtId="0" fontId="4" fillId="9" borderId="2" xfId="0" applyFont="1" applyFill="1" applyBorder="1" applyAlignment="1">
      <alignment vertical="top" wrapText="1"/>
    </xf>
    <xf numFmtId="0" fontId="5" fillId="4" borderId="4"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3" fillId="5" borderId="24" xfId="0" applyFont="1" applyFill="1" applyBorder="1" applyAlignment="1">
      <alignment horizontal="center" vertical="center"/>
    </xf>
    <xf numFmtId="0" fontId="13" fillId="6" borderId="24" xfId="0" applyFont="1" applyFill="1" applyBorder="1" applyAlignment="1">
      <alignment horizontal="center" vertical="center"/>
    </xf>
    <xf numFmtId="0" fontId="0" fillId="5" borderId="0" xfId="0" applyFill="1" applyBorder="1" applyProtection="1">
      <protection locked="0"/>
    </xf>
    <xf numFmtId="0" fontId="0" fillId="6" borderId="0" xfId="0" applyFill="1" applyBorder="1" applyProtection="1">
      <protection locked="0"/>
    </xf>
    <xf numFmtId="3" fontId="0" fillId="3" borderId="46" xfId="0" applyNumberFormat="1" applyFill="1" applyBorder="1" applyAlignment="1"/>
    <xf numFmtId="0" fontId="0" fillId="0" borderId="9" xfId="0" applyBorder="1" applyAlignment="1"/>
    <xf numFmtId="0" fontId="4" fillId="11" borderId="45" xfId="0" applyFont="1" applyFill="1" applyBorder="1" applyAlignment="1">
      <alignment horizontal="center" wrapText="1"/>
    </xf>
    <xf numFmtId="0" fontId="0" fillId="0" borderId="6" xfId="0" applyBorder="1" applyAlignment="1">
      <alignment horizontal="center" wrapText="1"/>
    </xf>
    <xf numFmtId="0" fontId="0" fillId="0" borderId="39" xfId="0" applyBorder="1" applyAlignment="1">
      <alignment horizontal="center" wrapText="1"/>
    </xf>
    <xf numFmtId="0" fontId="0" fillId="0" borderId="48" xfId="0" applyBorder="1" applyAlignment="1">
      <alignment horizontal="center" wrapText="1"/>
    </xf>
    <xf numFmtId="0" fontId="4" fillId="11" borderId="16" xfId="0" applyFont="1" applyFill="1" applyBorder="1" applyAlignment="1">
      <alignment horizontal="center" wrapText="1"/>
    </xf>
    <xf numFmtId="0" fontId="0" fillId="0" borderId="12" xfId="0" applyBorder="1" applyAlignment="1">
      <alignment horizontal="center" wrapText="1"/>
    </xf>
    <xf numFmtId="0" fontId="0" fillId="0" borderId="25" xfId="0" applyBorder="1" applyAlignment="1">
      <alignment horizontal="center" wrapText="1"/>
    </xf>
    <xf numFmtId="10" fontId="9" fillId="3" borderId="44" xfId="24" applyNumberFormat="1" applyFill="1" applyBorder="1" applyAlignment="1" applyProtection="1">
      <alignment horizontal="right"/>
    </xf>
    <xf numFmtId="0" fontId="0" fillId="0" borderId="8" xfId="0" applyBorder="1" applyAlignment="1">
      <alignment horizontal="right"/>
    </xf>
    <xf numFmtId="10" fontId="9" fillId="5" borderId="44" xfId="24" applyNumberFormat="1" applyFill="1" applyBorder="1" applyAlignment="1" applyProtection="1">
      <alignment horizontal="right"/>
      <protection locked="0"/>
    </xf>
    <xf numFmtId="0" fontId="0" fillId="0" borderId="8" xfId="0" applyBorder="1" applyAlignment="1" applyProtection="1">
      <alignment horizontal="right"/>
      <protection locked="0"/>
    </xf>
    <xf numFmtId="10" fontId="9" fillId="3" borderId="47" xfId="24" applyNumberFormat="1" applyFill="1" applyBorder="1" applyAlignment="1" applyProtection="1">
      <alignment horizontal="right"/>
    </xf>
    <xf numFmtId="0" fontId="0" fillId="0" borderId="43" xfId="0" applyBorder="1" applyAlignment="1">
      <alignment horizontal="right"/>
    </xf>
    <xf numFmtId="0" fontId="0" fillId="5" borderId="2" xfId="0" applyFill="1" applyBorder="1" applyAlignment="1">
      <alignment vertical="top" wrapText="1"/>
    </xf>
    <xf numFmtId="0" fontId="0" fillId="5" borderId="0" xfId="0" applyFill="1" applyBorder="1" applyAlignment="1">
      <alignment vertical="top" wrapText="1"/>
    </xf>
    <xf numFmtId="0" fontId="0" fillId="5" borderId="0" xfId="0" applyFill="1" applyBorder="1" applyAlignment="1">
      <alignment vertical="top"/>
    </xf>
    <xf numFmtId="0" fontId="0" fillId="5" borderId="8" xfId="0" applyFill="1" applyBorder="1" applyAlignment="1">
      <alignment vertical="top"/>
    </xf>
    <xf numFmtId="0" fontId="4" fillId="11" borderId="4" xfId="0" applyFont="1" applyFill="1" applyBorder="1" applyAlignment="1">
      <alignment horizontal="center" vertical="center"/>
    </xf>
    <xf numFmtId="0" fontId="4" fillId="11" borderId="5" xfId="0" applyFont="1" applyFill="1" applyBorder="1" applyAlignment="1">
      <alignment horizontal="center" vertical="center"/>
    </xf>
    <xf numFmtId="0" fontId="0" fillId="0" borderId="5" xfId="0" applyBorder="1" applyAlignment="1"/>
    <xf numFmtId="0" fontId="0" fillId="0" borderId="6" xfId="0" applyBorder="1" applyAlignment="1"/>
    <xf numFmtId="3" fontId="4" fillId="5" borderId="7" xfId="0" applyNumberFormat="1" applyFont="1" applyFill="1" applyBorder="1" applyAlignment="1">
      <alignment vertical="top" wrapText="1"/>
    </xf>
    <xf numFmtId="0" fontId="0" fillId="5" borderId="3" xfId="0" applyFill="1" applyBorder="1" applyAlignment="1">
      <alignment vertical="top" wrapText="1"/>
    </xf>
    <xf numFmtId="0" fontId="0" fillId="5" borderId="9" xfId="0" applyFill="1" applyBorder="1" applyAlignment="1">
      <alignment vertical="top" wrapText="1"/>
    </xf>
    <xf numFmtId="0" fontId="4" fillId="4"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172" fontId="0" fillId="3" borderId="5" xfId="0" applyNumberFormat="1" applyFont="1" applyFill="1" applyBorder="1" applyAlignment="1">
      <alignment vertical="top" wrapText="1"/>
    </xf>
    <xf numFmtId="172" fontId="0" fillId="0" borderId="5" xfId="0" applyNumberFormat="1" applyFont="1" applyBorder="1" applyAlignment="1">
      <alignment vertical="top" wrapText="1"/>
    </xf>
    <xf numFmtId="0" fontId="4" fillId="4" borderId="29" xfId="0" applyFont="1" applyFill="1" applyBorder="1" applyAlignment="1">
      <alignment horizontal="center" vertical="center" wrapText="1"/>
    </xf>
    <xf numFmtId="0" fontId="4" fillId="4" borderId="4" xfId="0" applyFont="1" applyFill="1" applyBorder="1" applyAlignment="1">
      <alignment horizontal="left"/>
    </xf>
    <xf numFmtId="0" fontId="4" fillId="4" borderId="35" xfId="0" applyFont="1" applyFill="1" applyBorder="1" applyAlignment="1">
      <alignment horizontal="left"/>
    </xf>
    <xf numFmtId="0" fontId="4" fillId="4" borderId="29" xfId="0" applyFont="1" applyFill="1" applyBorder="1" applyAlignment="1">
      <alignment horizontal="left"/>
    </xf>
    <xf numFmtId="0" fontId="4" fillId="4" borderId="36" xfId="0" applyFont="1" applyFill="1" applyBorder="1" applyAlignment="1">
      <alignment horizontal="left"/>
    </xf>
    <xf numFmtId="0" fontId="4" fillId="11" borderId="26" xfId="0" applyFont="1" applyFill="1" applyBorder="1" applyAlignment="1">
      <alignment horizontal="right" vertical="center" wrapText="1"/>
    </xf>
    <xf numFmtId="0" fontId="4" fillId="11" borderId="27" xfId="0" applyFont="1" applyFill="1" applyBorder="1" applyAlignment="1">
      <alignment horizontal="right" vertical="center" wrapText="1"/>
    </xf>
    <xf numFmtId="0" fontId="0" fillId="0" borderId="2" xfId="0" applyBorder="1"/>
    <xf numFmtId="0" fontId="0" fillId="0" borderId="33" xfId="0" applyBorder="1"/>
    <xf numFmtId="0" fontId="0" fillId="0" borderId="7" xfId="0" applyBorder="1"/>
    <xf numFmtId="0" fontId="0" fillId="0" borderId="34" xfId="0" applyBorder="1"/>
    <xf numFmtId="3" fontId="4" fillId="3" borderId="3" xfId="0" applyNumberFormat="1" applyFont="1" applyFill="1" applyBorder="1" applyAlignment="1">
      <alignment vertical="top"/>
    </xf>
    <xf numFmtId="0" fontId="0" fillId="0" borderId="3" xfId="0" applyBorder="1" applyAlignment="1"/>
    <xf numFmtId="0" fontId="0" fillId="5" borderId="42" xfId="0" applyFill="1" applyBorder="1" applyAlignment="1">
      <alignment vertical="top" wrapText="1"/>
    </xf>
    <xf numFmtId="0" fontId="0" fillId="5" borderId="38" xfId="0" applyFill="1" applyBorder="1" applyAlignment="1">
      <alignment vertical="top" wrapText="1"/>
    </xf>
    <xf numFmtId="0" fontId="0" fillId="5" borderId="38" xfId="0" applyFill="1" applyBorder="1" applyAlignment="1">
      <alignment vertical="top"/>
    </xf>
    <xf numFmtId="0" fontId="0" fillId="5" borderId="43" xfId="0" applyFill="1" applyBorder="1" applyAlignment="1">
      <alignment vertical="top"/>
    </xf>
    <xf numFmtId="3" fontId="0" fillId="3" borderId="4" xfId="0" applyNumberFormat="1" applyFont="1" applyFill="1" applyBorder="1" applyAlignment="1">
      <alignment horizontal="center" vertical="top" wrapText="1"/>
    </xf>
    <xf numFmtId="0" fontId="0" fillId="3" borderId="5" xfId="0" applyFill="1" applyBorder="1" applyAlignment="1">
      <alignment horizontal="center" vertical="top" wrapText="1"/>
    </xf>
    <xf numFmtId="0" fontId="0" fillId="3" borderId="6" xfId="0" applyFill="1" applyBorder="1" applyAlignment="1">
      <alignment horizontal="center" vertical="top" wrapText="1"/>
    </xf>
    <xf numFmtId="165" fontId="0" fillId="3" borderId="4" xfId="0" applyNumberFormat="1" applyFont="1" applyFill="1" applyBorder="1" applyAlignment="1">
      <alignment horizontal="center" vertical="top" wrapText="1"/>
    </xf>
    <xf numFmtId="0" fontId="0" fillId="3" borderId="4" xfId="0" applyFont="1" applyFill="1" applyBorder="1" applyAlignment="1">
      <alignment horizontal="center" vertical="top" wrapText="1"/>
    </xf>
    <xf numFmtId="0" fontId="0" fillId="3" borderId="6" xfId="0" applyFill="1" applyBorder="1" applyAlignment="1">
      <alignment vertical="top" wrapText="1"/>
    </xf>
  </cellXfs>
  <cellStyles count="180">
    <cellStyle name="Comma" xfId="1" builtinId="3"/>
    <cellStyle name="Currency" xfId="2" builtinId="4"/>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cellStyle name="Normal" xfId="0" builtinId="0"/>
    <cellStyle name="Normal 10" xfId="3" hidden="1"/>
    <cellStyle name="Normal 11" xfId="4" hidden="1"/>
    <cellStyle name="Normal 12" xfId="5" hidden="1"/>
    <cellStyle name="Normal 13" xfId="6" hidden="1"/>
    <cellStyle name="Normal 14" xfId="7" hidden="1"/>
    <cellStyle name="Normal 15" xfId="8" hidden="1"/>
    <cellStyle name="Normal 16" xfId="9" hidden="1"/>
    <cellStyle name="Normal 17" xfId="10" hidden="1"/>
    <cellStyle name="Normal 18" xfId="11" hidden="1"/>
    <cellStyle name="Normal 19" xfId="12" hidden="1"/>
    <cellStyle name="Normal 2" xfId="13" hidden="1"/>
    <cellStyle name="Normal 20" xfId="14" hidden="1"/>
    <cellStyle name="Normal 21" xfId="15" hidden="1"/>
    <cellStyle name="Normal 22" xfId="16" hidden="1"/>
    <cellStyle name="Normal 3" xfId="17" hidden="1"/>
    <cellStyle name="Normal 4" xfId="18" hidden="1"/>
    <cellStyle name="Normal 5" xfId="19" hidden="1"/>
    <cellStyle name="Normal 6" xfId="20" hidden="1"/>
    <cellStyle name="Normal 7" xfId="21" hidden="1"/>
    <cellStyle name="Normal 8" xfId="22" hidden="1"/>
    <cellStyle name="Normal 9" xfId="23" hidden="1"/>
    <cellStyle name="Output" xfId="24" builtin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Drop" dropLines="95" dropStyle="combo" dx="16" fmlaLink="$I$5" fmlaRange="Worksheet!$A$45:$A$59" noThreeD="1" sel="5" val="0"/>
</file>

<file path=xl/ctrlProps/ctrlProp2.xml><?xml version="1.0" encoding="utf-8"?>
<formControlPr xmlns="http://schemas.microsoft.com/office/spreadsheetml/2009/9/main" objectType="Drop" dropLines="95" dropStyle="combo" dx="16" fmlaLink="$I$7" fmlaRange="Worksheet!$A$45:$A$59" noThreeD="1" sel="8"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4</xdr:row>
          <xdr:rowOff>0</xdr:rowOff>
        </xdr:from>
        <xdr:to>
          <xdr:col>12</xdr:col>
          <xdr:colOff>0</xdr:colOff>
          <xdr:row>6</xdr:row>
          <xdr:rowOff>0</xdr:rowOff>
        </xdr:to>
        <xdr:sp macro="" textlink="">
          <xdr:nvSpPr>
            <xdr:cNvPr id="183303" name="Drop Down 7" hidden="1">
              <a:extLst>
                <a:ext uri="{63B3BB69-23CF-44E3-9099-C40C66FF867C}">
                  <a14:compatExt spid="_x0000_s183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12</xdr:col>
          <xdr:colOff>0</xdr:colOff>
          <xdr:row>8</xdr:row>
          <xdr:rowOff>0</xdr:rowOff>
        </xdr:to>
        <xdr:sp macro="" textlink="">
          <xdr:nvSpPr>
            <xdr:cNvPr id="183304" name="Drop Down 8" hidden="1">
              <a:extLst>
                <a:ext uri="{63B3BB69-23CF-44E3-9099-C40C66FF867C}">
                  <a14:compatExt spid="_x0000_s18330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k@heaterseconomics.org" TargetMode="Externa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9"/>
  <sheetViews>
    <sheetView showGridLines="0" zoomScale="150" zoomScaleNormal="150" zoomScalePageLayoutView="150" workbookViewId="0">
      <selection activeCell="A2" sqref="A2"/>
    </sheetView>
  </sheetViews>
  <sheetFormatPr baseColWidth="10" defaultColWidth="11.5" defaultRowHeight="15" x14ac:dyDescent="0"/>
  <cols>
    <col min="1" max="1" width="122" style="197" customWidth="1"/>
    <col min="2" max="11" width="11.5" style="197"/>
  </cols>
  <sheetData>
    <row r="1" spans="1:11" s="77" customFormat="1">
      <c r="A1" s="197"/>
      <c r="B1" s="197"/>
      <c r="C1" s="197"/>
      <c r="D1" s="197"/>
      <c r="E1" s="197"/>
      <c r="F1" s="197"/>
      <c r="G1" s="197"/>
      <c r="H1" s="197"/>
      <c r="I1" s="197"/>
      <c r="J1" s="197"/>
      <c r="K1" s="197"/>
    </row>
    <row r="2" spans="1:11" s="77" customFormat="1" ht="20" customHeight="1">
      <c r="A2" s="194" t="s">
        <v>121</v>
      </c>
      <c r="B2" s="197"/>
      <c r="C2" s="197"/>
      <c r="D2" s="197"/>
      <c r="E2" s="197"/>
      <c r="F2" s="197"/>
      <c r="G2" s="197"/>
      <c r="H2" s="197"/>
      <c r="I2" s="197"/>
      <c r="J2" s="197"/>
      <c r="K2" s="197"/>
    </row>
    <row r="3" spans="1:11" s="77" customFormat="1" ht="61" customHeight="1">
      <c r="A3" s="197" t="s">
        <v>126</v>
      </c>
      <c r="B3" s="197"/>
      <c r="C3" s="197"/>
      <c r="D3" s="197"/>
      <c r="E3" s="197"/>
      <c r="F3" s="197"/>
      <c r="G3" s="197"/>
      <c r="H3" s="197"/>
      <c r="I3" s="197"/>
      <c r="J3" s="197"/>
      <c r="K3" s="197"/>
    </row>
    <row r="4" spans="1:11" s="29" customFormat="1">
      <c r="A4" s="193"/>
      <c r="B4" s="193"/>
      <c r="C4" s="193"/>
      <c r="D4" s="193"/>
      <c r="E4" s="193"/>
      <c r="F4" s="193"/>
      <c r="G4" s="193"/>
      <c r="H4" s="193"/>
      <c r="I4" s="193"/>
      <c r="J4" s="193"/>
      <c r="K4" s="193"/>
    </row>
    <row r="5" spans="1:11" s="29" customFormat="1" ht="50" customHeight="1">
      <c r="A5" s="193" t="s">
        <v>194</v>
      </c>
      <c r="B5" s="193"/>
      <c r="C5" s="193"/>
      <c r="D5" s="193"/>
      <c r="E5" s="193"/>
      <c r="F5" s="193"/>
      <c r="G5" s="193"/>
      <c r="H5" s="193"/>
      <c r="I5" s="193"/>
      <c r="J5" s="193"/>
      <c r="K5" s="193"/>
    </row>
    <row r="6" spans="1:11" s="29" customFormat="1">
      <c r="A6" s="193"/>
      <c r="B6" s="193"/>
      <c r="C6" s="193"/>
      <c r="D6" s="193"/>
      <c r="E6" s="193"/>
      <c r="F6" s="193"/>
      <c r="G6" s="193"/>
      <c r="H6" s="193"/>
      <c r="I6" s="193"/>
      <c r="J6" s="193"/>
      <c r="K6" s="193"/>
    </row>
    <row r="7" spans="1:11" s="29" customFormat="1" ht="17">
      <c r="A7" s="194" t="s">
        <v>125</v>
      </c>
      <c r="B7" s="193"/>
      <c r="C7" s="193"/>
      <c r="D7" s="193"/>
      <c r="E7" s="193"/>
      <c r="F7" s="193"/>
      <c r="G7" s="193"/>
      <c r="H7" s="193"/>
      <c r="I7" s="193"/>
      <c r="J7" s="193"/>
      <c r="K7" s="193"/>
    </row>
    <row r="8" spans="1:11" s="29" customFormat="1" ht="30">
      <c r="A8" s="193" t="s">
        <v>195</v>
      </c>
      <c r="B8" s="193"/>
      <c r="C8" s="193"/>
      <c r="D8" s="193"/>
      <c r="E8" s="193"/>
      <c r="F8" s="193"/>
      <c r="G8" s="193"/>
      <c r="H8" s="193"/>
      <c r="I8" s="193"/>
      <c r="J8" s="193"/>
      <c r="K8" s="193"/>
    </row>
    <row r="9" spans="1:11" s="29" customFormat="1">
      <c r="A9" s="193"/>
      <c r="B9" s="193"/>
      <c r="C9" s="193"/>
      <c r="D9" s="193"/>
      <c r="E9" s="193"/>
      <c r="F9" s="193"/>
      <c r="G9" s="193"/>
      <c r="H9" s="193"/>
      <c r="I9" s="193"/>
      <c r="J9" s="193"/>
      <c r="K9" s="193"/>
    </row>
    <row r="10" spans="1:11" s="29" customFormat="1" ht="17">
      <c r="A10" s="194" t="s">
        <v>124</v>
      </c>
      <c r="B10" s="193"/>
      <c r="C10" s="193"/>
      <c r="D10" s="193"/>
      <c r="E10" s="193"/>
      <c r="F10" s="193"/>
      <c r="G10" s="193"/>
      <c r="H10" s="193"/>
      <c r="I10" s="193"/>
      <c r="J10" s="193"/>
      <c r="K10" s="193"/>
    </row>
    <row r="11" spans="1:11" s="29" customFormat="1" ht="60">
      <c r="A11" s="195" t="s">
        <v>196</v>
      </c>
      <c r="B11" s="195"/>
      <c r="C11" s="195"/>
      <c r="D11" s="195"/>
      <c r="E11" s="195"/>
      <c r="F11" s="195"/>
      <c r="G11" s="195"/>
      <c r="H11" s="195"/>
      <c r="I11" s="195"/>
      <c r="J11" s="195"/>
      <c r="K11" s="195"/>
    </row>
    <row r="12" spans="1:11" s="29" customFormat="1">
      <c r="A12" s="195"/>
      <c r="B12" s="195"/>
      <c r="C12" s="195"/>
      <c r="D12" s="195"/>
      <c r="E12" s="195"/>
      <c r="F12" s="195"/>
      <c r="G12" s="195"/>
      <c r="H12" s="195"/>
      <c r="I12" s="195"/>
      <c r="J12" s="195"/>
      <c r="K12" s="195"/>
    </row>
    <row r="13" spans="1:11" s="29" customFormat="1" ht="17">
      <c r="A13" s="194" t="s">
        <v>123</v>
      </c>
      <c r="B13" s="193"/>
      <c r="C13" s="193"/>
      <c r="D13" s="193"/>
      <c r="E13" s="193"/>
      <c r="F13" s="193"/>
      <c r="G13" s="193"/>
      <c r="H13" s="193"/>
      <c r="I13" s="193"/>
      <c r="J13" s="193"/>
      <c r="K13" s="193"/>
    </row>
    <row r="14" spans="1:11" s="29" customFormat="1" ht="60">
      <c r="A14" s="195" t="s">
        <v>150</v>
      </c>
      <c r="B14" s="195"/>
      <c r="C14" s="195"/>
      <c r="D14" s="195"/>
      <c r="E14" s="195"/>
      <c r="F14" s="195"/>
      <c r="G14" s="195"/>
      <c r="H14" s="195"/>
      <c r="I14" s="195"/>
      <c r="J14" s="195"/>
      <c r="K14" s="195"/>
    </row>
    <row r="15" spans="1:11" s="29" customFormat="1">
      <c r="A15" s="195"/>
      <c r="B15" s="195"/>
      <c r="C15" s="195"/>
      <c r="D15" s="195"/>
      <c r="E15" s="195"/>
      <c r="F15" s="195"/>
      <c r="G15" s="195"/>
      <c r="H15" s="195"/>
      <c r="I15" s="195"/>
      <c r="J15" s="195"/>
      <c r="K15" s="195"/>
    </row>
    <row r="16" spans="1:11" s="29" customFormat="1" ht="17">
      <c r="A16" s="194" t="s">
        <v>122</v>
      </c>
      <c r="B16" s="193"/>
      <c r="C16" s="193"/>
      <c r="D16" s="193"/>
      <c r="E16" s="193"/>
      <c r="F16" s="193"/>
      <c r="G16" s="193"/>
      <c r="H16" s="193"/>
      <c r="I16" s="193"/>
      <c r="J16" s="193"/>
      <c r="K16" s="193"/>
    </row>
    <row r="17" spans="1:11" s="29" customFormat="1" ht="30">
      <c r="A17" s="195" t="s">
        <v>134</v>
      </c>
      <c r="B17" s="195"/>
      <c r="C17" s="195"/>
      <c r="D17" s="195"/>
      <c r="E17" s="195"/>
      <c r="F17" s="195"/>
      <c r="G17" s="195"/>
      <c r="H17" s="195"/>
      <c r="I17" s="195"/>
      <c r="J17" s="195"/>
      <c r="K17" s="195"/>
    </row>
    <row r="18" spans="1:11" s="29" customFormat="1">
      <c r="A18" s="195"/>
      <c r="B18" s="195"/>
      <c r="C18" s="195"/>
      <c r="D18" s="195"/>
      <c r="E18" s="195"/>
      <c r="F18" s="195"/>
      <c r="G18" s="195"/>
      <c r="H18" s="195"/>
      <c r="I18" s="195"/>
      <c r="J18" s="195"/>
      <c r="K18" s="195"/>
    </row>
    <row r="19" spans="1:11" s="29" customFormat="1" ht="30">
      <c r="A19" s="195" t="s">
        <v>127</v>
      </c>
      <c r="B19" s="195"/>
      <c r="C19" s="195"/>
      <c r="D19" s="195"/>
      <c r="E19" s="195"/>
      <c r="F19" s="195"/>
      <c r="G19" s="195"/>
      <c r="H19" s="195"/>
      <c r="I19" s="195"/>
      <c r="J19" s="195"/>
      <c r="K19" s="195"/>
    </row>
    <row r="20" spans="1:11" s="29" customFormat="1">
      <c r="A20" s="195"/>
      <c r="B20" s="195"/>
      <c r="C20" s="195"/>
      <c r="D20" s="195"/>
      <c r="E20" s="195"/>
      <c r="F20" s="195"/>
      <c r="G20" s="195"/>
      <c r="H20" s="195"/>
      <c r="I20" s="195"/>
      <c r="J20" s="195"/>
      <c r="K20" s="195"/>
    </row>
    <row r="21" spans="1:11" s="29" customFormat="1">
      <c r="A21" s="195"/>
      <c r="B21" s="195"/>
      <c r="C21" s="195"/>
      <c r="D21" s="195"/>
      <c r="E21" s="195"/>
      <c r="F21" s="195"/>
      <c r="G21" s="195"/>
      <c r="H21" s="195"/>
      <c r="I21" s="195"/>
      <c r="J21" s="195"/>
      <c r="K21" s="195"/>
    </row>
    <row r="22" spans="1:11" s="29" customFormat="1" ht="17">
      <c r="A22" s="194" t="s">
        <v>129</v>
      </c>
      <c r="B22" s="195"/>
      <c r="C22" s="195"/>
      <c r="D22" s="195"/>
      <c r="E22" s="195"/>
      <c r="F22" s="195"/>
      <c r="G22" s="195"/>
      <c r="H22" s="195"/>
      <c r="I22" s="195"/>
      <c r="J22" s="195"/>
      <c r="K22" s="195"/>
    </row>
    <row r="23" spans="1:11" s="29" customFormat="1">
      <c r="A23" s="193" t="s">
        <v>132</v>
      </c>
      <c r="B23" s="193"/>
      <c r="C23" s="193"/>
      <c r="D23" s="193"/>
      <c r="E23" s="193"/>
      <c r="F23" s="193"/>
      <c r="G23" s="193"/>
      <c r="H23" s="193"/>
      <c r="I23" s="193"/>
      <c r="J23" s="193"/>
      <c r="K23" s="193"/>
    </row>
    <row r="24" spans="1:11" s="29" customFormat="1">
      <c r="A24" s="193" t="s">
        <v>133</v>
      </c>
      <c r="B24" s="193"/>
      <c r="C24" s="193"/>
      <c r="D24" s="193"/>
      <c r="E24" s="193"/>
      <c r="F24" s="193"/>
      <c r="G24" s="193"/>
      <c r="H24" s="193"/>
      <c r="I24" s="193"/>
      <c r="J24" s="193"/>
      <c r="K24" s="193"/>
    </row>
    <row r="25" spans="1:11" s="29" customFormat="1">
      <c r="A25" s="193" t="s">
        <v>130</v>
      </c>
      <c r="B25" s="193"/>
      <c r="C25" s="193"/>
      <c r="D25" s="193"/>
      <c r="E25" s="193"/>
      <c r="F25" s="193"/>
      <c r="G25" s="193"/>
      <c r="H25" s="193"/>
      <c r="I25" s="193"/>
      <c r="J25" s="193"/>
      <c r="K25" s="193"/>
    </row>
    <row r="26" spans="1:11" s="29" customFormat="1">
      <c r="A26" s="203" t="s">
        <v>131</v>
      </c>
      <c r="B26" s="193"/>
      <c r="C26" s="193"/>
      <c r="D26" s="193"/>
      <c r="E26" s="193"/>
      <c r="F26" s="193"/>
      <c r="G26" s="193"/>
      <c r="H26" s="193"/>
      <c r="I26" s="193"/>
      <c r="J26" s="193"/>
      <c r="K26" s="193"/>
    </row>
    <row r="27" spans="1:11" s="29" customFormat="1">
      <c r="A27" s="193"/>
      <c r="B27" s="193"/>
      <c r="C27" s="193"/>
      <c r="D27" s="193"/>
      <c r="E27" s="193"/>
      <c r="F27" s="193"/>
      <c r="G27" s="193"/>
      <c r="H27" s="193"/>
      <c r="I27" s="193"/>
      <c r="J27" s="193"/>
      <c r="K27" s="193"/>
    </row>
    <row r="28" spans="1:11" s="29" customFormat="1">
      <c r="A28" s="193"/>
      <c r="B28" s="193"/>
      <c r="C28" s="193"/>
      <c r="D28" s="193"/>
      <c r="E28" s="193"/>
      <c r="F28" s="193"/>
      <c r="G28" s="193"/>
      <c r="H28" s="193"/>
      <c r="I28" s="193"/>
      <c r="J28" s="193"/>
      <c r="K28" s="193"/>
    </row>
    <row r="29" spans="1:11" s="29" customFormat="1">
      <c r="A29" s="193"/>
      <c r="B29" s="193"/>
      <c r="C29" s="193"/>
      <c r="D29" s="193"/>
      <c r="E29" s="193"/>
      <c r="F29" s="193"/>
      <c r="G29" s="193"/>
      <c r="H29" s="193"/>
      <c r="I29" s="193"/>
      <c r="J29" s="193"/>
      <c r="K29" s="193"/>
    </row>
    <row r="30" spans="1:11" s="29" customFormat="1">
      <c r="A30" s="193"/>
      <c r="B30" s="193"/>
      <c r="C30" s="193"/>
      <c r="D30" s="193"/>
      <c r="E30" s="193"/>
      <c r="F30" s="193"/>
      <c r="G30" s="193"/>
      <c r="H30" s="193"/>
      <c r="I30" s="193"/>
      <c r="J30" s="193"/>
      <c r="K30" s="193"/>
    </row>
    <row r="31" spans="1:11" s="29" customFormat="1">
      <c r="A31" s="193"/>
      <c r="B31" s="193"/>
      <c r="C31" s="193"/>
      <c r="D31" s="193"/>
      <c r="E31" s="193"/>
      <c r="F31" s="193"/>
      <c r="G31" s="193"/>
      <c r="H31" s="193"/>
      <c r="I31" s="193"/>
      <c r="J31" s="193"/>
      <c r="K31" s="193"/>
    </row>
    <row r="32" spans="1:11" s="29" customFormat="1">
      <c r="A32" s="193"/>
      <c r="B32" s="193"/>
      <c r="C32" s="193"/>
      <c r="D32" s="193"/>
      <c r="E32" s="193"/>
      <c r="F32" s="193"/>
      <c r="G32" s="193"/>
      <c r="H32" s="193"/>
      <c r="I32" s="193"/>
      <c r="J32" s="193"/>
      <c r="K32" s="193"/>
    </row>
    <row r="33" spans="1:11" s="29" customFormat="1">
      <c r="A33" s="193"/>
      <c r="B33" s="193"/>
      <c r="C33" s="193"/>
      <c r="D33" s="193"/>
      <c r="E33" s="193"/>
      <c r="F33" s="193"/>
      <c r="G33" s="193"/>
      <c r="H33" s="193"/>
      <c r="I33" s="193"/>
      <c r="J33" s="193"/>
      <c r="K33" s="193"/>
    </row>
    <row r="34" spans="1:11" s="29" customFormat="1">
      <c r="A34" s="193"/>
      <c r="B34" s="193"/>
      <c r="C34" s="193"/>
      <c r="D34" s="193"/>
      <c r="E34" s="193"/>
      <c r="F34" s="193"/>
      <c r="G34" s="193"/>
      <c r="H34" s="193"/>
      <c r="I34" s="193"/>
      <c r="J34" s="193"/>
      <c r="K34" s="193"/>
    </row>
    <row r="35" spans="1:11" s="29" customFormat="1">
      <c r="A35" s="193"/>
      <c r="B35" s="193"/>
      <c r="C35" s="193"/>
      <c r="D35" s="193"/>
      <c r="E35" s="193"/>
      <c r="F35" s="193"/>
      <c r="G35" s="193"/>
      <c r="H35" s="193"/>
      <c r="I35" s="193"/>
      <c r="J35" s="193"/>
      <c r="K35" s="193"/>
    </row>
    <row r="36" spans="1:11" s="29" customFormat="1">
      <c r="A36" s="193"/>
      <c r="B36" s="193"/>
      <c r="C36" s="193"/>
      <c r="D36" s="193"/>
      <c r="E36" s="193"/>
      <c r="F36" s="193"/>
      <c r="G36" s="193"/>
      <c r="H36" s="193"/>
      <c r="I36" s="193"/>
      <c r="J36" s="193"/>
      <c r="K36" s="193"/>
    </row>
    <row r="37" spans="1:11" s="29" customFormat="1">
      <c r="A37" s="193"/>
      <c r="B37" s="193"/>
      <c r="C37" s="193"/>
      <c r="D37" s="193"/>
      <c r="E37" s="193"/>
      <c r="F37" s="193"/>
      <c r="G37" s="193"/>
      <c r="H37" s="193"/>
      <c r="I37" s="193"/>
      <c r="J37" s="193"/>
      <c r="K37" s="193"/>
    </row>
    <row r="38" spans="1:11" s="29" customFormat="1">
      <c r="A38" s="193"/>
      <c r="B38" s="193"/>
      <c r="C38" s="193"/>
      <c r="D38" s="193"/>
      <c r="E38" s="193"/>
      <c r="F38" s="193"/>
      <c r="G38" s="193"/>
      <c r="H38" s="193"/>
      <c r="I38" s="193"/>
      <c r="J38" s="193"/>
      <c r="K38" s="193"/>
    </row>
    <row r="39" spans="1:11" s="29" customFormat="1">
      <c r="A39" s="193"/>
      <c r="B39" s="193"/>
      <c r="C39" s="193"/>
      <c r="D39" s="193"/>
      <c r="E39" s="193"/>
      <c r="F39" s="193"/>
      <c r="G39" s="193"/>
      <c r="H39" s="193"/>
      <c r="I39" s="193"/>
      <c r="J39" s="193"/>
      <c r="K39" s="193"/>
    </row>
    <row r="40" spans="1:11" s="29" customFormat="1">
      <c r="A40" s="193"/>
      <c r="B40" s="193"/>
      <c r="C40" s="193"/>
      <c r="D40" s="193"/>
      <c r="E40" s="193"/>
      <c r="F40" s="193"/>
      <c r="G40" s="193"/>
      <c r="H40" s="193"/>
      <c r="I40" s="193"/>
      <c r="J40" s="193"/>
      <c r="K40" s="193"/>
    </row>
    <row r="41" spans="1:11" s="29" customFormat="1">
      <c r="A41" s="193"/>
      <c r="B41" s="193"/>
      <c r="C41" s="193"/>
      <c r="D41" s="193"/>
      <c r="E41" s="193"/>
      <c r="F41" s="193"/>
      <c r="G41" s="193"/>
      <c r="H41" s="193"/>
      <c r="I41" s="193"/>
      <c r="J41" s="193"/>
      <c r="K41" s="193"/>
    </row>
    <row r="42" spans="1:11" s="29" customFormat="1">
      <c r="A42" s="193"/>
      <c r="B42" s="193"/>
      <c r="C42" s="193"/>
      <c r="D42" s="193"/>
      <c r="E42" s="193"/>
      <c r="F42" s="193"/>
      <c r="G42" s="193"/>
      <c r="H42" s="193"/>
      <c r="I42" s="193"/>
      <c r="J42" s="193"/>
      <c r="K42" s="193"/>
    </row>
    <row r="43" spans="1:11" s="29" customFormat="1">
      <c r="A43" s="193"/>
      <c r="B43" s="193"/>
      <c r="C43" s="193"/>
      <c r="D43" s="193"/>
      <c r="E43" s="193"/>
      <c r="F43" s="193"/>
      <c r="G43" s="193"/>
      <c r="H43" s="193"/>
      <c r="I43" s="193"/>
      <c r="J43" s="193"/>
      <c r="K43" s="193"/>
    </row>
    <row r="44" spans="1:11" s="29" customFormat="1">
      <c r="A44" s="193"/>
      <c r="B44" s="193"/>
      <c r="C44" s="193"/>
      <c r="D44" s="193"/>
      <c r="E44" s="193"/>
      <c r="F44" s="193"/>
      <c r="G44" s="193"/>
      <c r="H44" s="193"/>
      <c r="I44" s="193"/>
      <c r="J44" s="193"/>
      <c r="K44" s="193"/>
    </row>
    <row r="45" spans="1:11" s="29" customFormat="1">
      <c r="A45" s="193"/>
      <c r="B45" s="193"/>
      <c r="C45" s="193"/>
      <c r="D45" s="193"/>
      <c r="E45" s="193"/>
      <c r="F45" s="193"/>
      <c r="G45" s="193"/>
      <c r="H45" s="193"/>
      <c r="I45" s="193"/>
      <c r="J45" s="193"/>
      <c r="K45" s="193"/>
    </row>
    <row r="46" spans="1:11" s="29" customFormat="1">
      <c r="A46" s="193"/>
      <c r="B46" s="193"/>
      <c r="C46" s="193"/>
      <c r="D46" s="193"/>
      <c r="E46" s="193"/>
      <c r="F46" s="193"/>
      <c r="G46" s="193"/>
      <c r="H46" s="193"/>
      <c r="I46" s="193"/>
      <c r="J46" s="193"/>
      <c r="K46" s="193"/>
    </row>
    <row r="47" spans="1:11" s="29" customFormat="1">
      <c r="A47" s="193"/>
      <c r="B47" s="193"/>
      <c r="C47" s="193"/>
      <c r="D47" s="193"/>
      <c r="E47" s="193"/>
      <c r="F47" s="193"/>
      <c r="G47" s="193"/>
      <c r="H47" s="193"/>
      <c r="I47" s="193"/>
      <c r="J47" s="193"/>
      <c r="K47" s="193"/>
    </row>
    <row r="48" spans="1:11" s="29" customFormat="1">
      <c r="A48" s="193"/>
      <c r="B48" s="193"/>
      <c r="C48" s="193"/>
      <c r="D48" s="193"/>
      <c r="E48" s="193"/>
      <c r="F48" s="193"/>
      <c r="G48" s="193"/>
      <c r="H48" s="193"/>
      <c r="I48" s="193"/>
      <c r="J48" s="193"/>
      <c r="K48" s="193"/>
    </row>
    <row r="49" spans="1:11" s="29" customFormat="1">
      <c r="A49" s="193"/>
      <c r="B49" s="193"/>
      <c r="C49" s="193"/>
      <c r="D49" s="193"/>
      <c r="E49" s="193"/>
      <c r="F49" s="193"/>
      <c r="G49" s="193"/>
      <c r="H49" s="193"/>
      <c r="I49" s="193"/>
      <c r="J49" s="193"/>
      <c r="K49" s="193"/>
    </row>
    <row r="50" spans="1:11" s="29" customFormat="1">
      <c r="A50" s="193"/>
      <c r="B50" s="193"/>
      <c r="C50" s="193"/>
      <c r="D50" s="193"/>
      <c r="E50" s="193"/>
      <c r="F50" s="193"/>
      <c r="G50" s="193"/>
      <c r="H50" s="193"/>
      <c r="I50" s="193"/>
      <c r="J50" s="193"/>
      <c r="K50" s="193"/>
    </row>
    <row r="51" spans="1:11" s="29" customFormat="1">
      <c r="A51" s="193"/>
      <c r="B51" s="193"/>
      <c r="C51" s="193"/>
      <c r="D51" s="193"/>
      <c r="E51" s="193"/>
      <c r="F51" s="193"/>
      <c r="G51" s="193"/>
      <c r="H51" s="193"/>
      <c r="I51" s="193"/>
      <c r="J51" s="193"/>
      <c r="K51" s="193"/>
    </row>
    <row r="52" spans="1:11" s="29" customFormat="1">
      <c r="A52" s="193"/>
      <c r="B52" s="193"/>
      <c r="C52" s="193"/>
      <c r="D52" s="193"/>
      <c r="E52" s="193"/>
      <c r="F52" s="193"/>
      <c r="G52" s="193"/>
      <c r="H52" s="193"/>
      <c r="I52" s="193"/>
      <c r="J52" s="193"/>
      <c r="K52" s="193"/>
    </row>
    <row r="53" spans="1:11" s="29" customFormat="1">
      <c r="A53" s="193"/>
      <c r="B53" s="193"/>
      <c r="C53" s="193"/>
      <c r="D53" s="193"/>
      <c r="E53" s="193"/>
      <c r="F53" s="193"/>
      <c r="G53" s="193"/>
      <c r="H53" s="193"/>
      <c r="I53" s="193"/>
      <c r="J53" s="193"/>
      <c r="K53" s="193"/>
    </row>
    <row r="54" spans="1:11" s="29" customFormat="1">
      <c r="A54" s="193"/>
      <c r="B54" s="193"/>
      <c r="C54" s="193"/>
      <c r="D54" s="193"/>
      <c r="E54" s="193"/>
      <c r="F54" s="193"/>
      <c r="G54" s="193"/>
      <c r="H54" s="193"/>
      <c r="I54" s="193"/>
      <c r="J54" s="193"/>
      <c r="K54" s="193"/>
    </row>
    <row r="55" spans="1:11" s="29" customFormat="1">
      <c r="A55" s="193"/>
      <c r="B55" s="193"/>
      <c r="C55" s="193"/>
      <c r="D55" s="193"/>
      <c r="E55" s="193"/>
      <c r="F55" s="193"/>
      <c r="G55" s="193"/>
      <c r="H55" s="193"/>
      <c r="I55" s="193"/>
      <c r="J55" s="193"/>
      <c r="K55" s="193"/>
    </row>
    <row r="56" spans="1:11" s="29" customFormat="1">
      <c r="A56" s="193"/>
      <c r="B56" s="193"/>
      <c r="C56" s="193"/>
      <c r="D56" s="193"/>
      <c r="E56" s="193"/>
      <c r="F56" s="193"/>
      <c r="G56" s="193"/>
      <c r="H56" s="193"/>
      <c r="I56" s="193"/>
      <c r="J56" s="193"/>
      <c r="K56" s="193"/>
    </row>
    <row r="57" spans="1:11" s="29" customFormat="1">
      <c r="A57" s="193"/>
      <c r="B57" s="193"/>
      <c r="C57" s="193"/>
      <c r="D57" s="193"/>
      <c r="E57" s="193"/>
      <c r="F57" s="193"/>
      <c r="G57" s="193"/>
      <c r="H57" s="193"/>
      <c r="I57" s="193"/>
      <c r="J57" s="193"/>
      <c r="K57" s="193"/>
    </row>
    <row r="58" spans="1:11" s="29" customFormat="1">
      <c r="A58" s="193"/>
      <c r="B58" s="193"/>
      <c r="C58" s="193"/>
      <c r="D58" s="193"/>
      <c r="E58" s="193"/>
      <c r="F58" s="193"/>
      <c r="G58" s="193"/>
      <c r="H58" s="193"/>
      <c r="I58" s="193"/>
      <c r="J58" s="193"/>
      <c r="K58" s="193"/>
    </row>
    <row r="59" spans="1:11" s="29" customFormat="1">
      <c r="A59" s="193"/>
      <c r="B59" s="193"/>
      <c r="C59" s="193"/>
      <c r="D59" s="193"/>
      <c r="E59" s="193"/>
      <c r="F59" s="193"/>
      <c r="G59" s="193"/>
      <c r="H59" s="193"/>
      <c r="I59" s="193"/>
      <c r="J59" s="193"/>
      <c r="K59" s="193"/>
    </row>
    <row r="60" spans="1:11" s="29" customFormat="1">
      <c r="A60" s="193"/>
      <c r="B60" s="193"/>
      <c r="C60" s="193"/>
      <c r="D60" s="193"/>
      <c r="E60" s="193"/>
      <c r="F60" s="193"/>
      <c r="G60" s="193"/>
      <c r="H60" s="193"/>
      <c r="I60" s="193"/>
      <c r="J60" s="193"/>
      <c r="K60" s="193"/>
    </row>
    <row r="61" spans="1:11" s="29" customFormat="1">
      <c r="A61" s="193"/>
      <c r="B61" s="193"/>
      <c r="C61" s="193"/>
      <c r="D61" s="193"/>
      <c r="E61" s="193"/>
      <c r="F61" s="193"/>
      <c r="G61" s="193"/>
      <c r="H61" s="193"/>
      <c r="I61" s="193"/>
      <c r="J61" s="193"/>
      <c r="K61" s="193"/>
    </row>
    <row r="62" spans="1:11" s="29" customFormat="1">
      <c r="A62" s="193"/>
      <c r="B62" s="193"/>
      <c r="C62" s="193"/>
      <c r="D62" s="193"/>
      <c r="E62" s="193"/>
      <c r="F62" s="193"/>
      <c r="G62" s="193"/>
      <c r="H62" s="193"/>
      <c r="I62" s="193"/>
      <c r="J62" s="193"/>
      <c r="K62" s="193"/>
    </row>
    <row r="63" spans="1:11" s="29" customFormat="1">
      <c r="A63" s="193"/>
      <c r="B63" s="193"/>
      <c r="C63" s="193"/>
      <c r="D63" s="193"/>
      <c r="E63" s="193"/>
      <c r="F63" s="193"/>
      <c r="G63" s="193"/>
      <c r="H63" s="193"/>
      <c r="I63" s="193"/>
      <c r="J63" s="193"/>
      <c r="K63" s="193"/>
    </row>
    <row r="64" spans="1:11" s="29" customFormat="1">
      <c r="A64" s="193"/>
      <c r="B64" s="193"/>
      <c r="C64" s="193"/>
      <c r="D64" s="193"/>
      <c r="E64" s="193"/>
      <c r="F64" s="193"/>
      <c r="G64" s="193"/>
      <c r="H64" s="193"/>
      <c r="I64" s="193"/>
      <c r="J64" s="193"/>
      <c r="K64" s="193"/>
    </row>
    <row r="65" spans="1:11" s="29" customFormat="1">
      <c r="A65" s="193"/>
      <c r="B65" s="193"/>
      <c r="C65" s="193"/>
      <c r="D65" s="193"/>
      <c r="E65" s="193"/>
      <c r="F65" s="193"/>
      <c r="G65" s="193"/>
      <c r="H65" s="193"/>
      <c r="I65" s="193"/>
      <c r="J65" s="193"/>
      <c r="K65" s="193"/>
    </row>
    <row r="66" spans="1:11" s="29" customFormat="1">
      <c r="A66" s="193"/>
      <c r="B66" s="193"/>
      <c r="C66" s="193"/>
      <c r="D66" s="193"/>
      <c r="E66" s="193"/>
      <c r="F66" s="193"/>
      <c r="G66" s="193"/>
      <c r="H66" s="193"/>
      <c r="I66" s="193"/>
      <c r="J66" s="193"/>
      <c r="K66" s="193"/>
    </row>
    <row r="67" spans="1:11" s="29" customFormat="1">
      <c r="A67" s="193"/>
      <c r="B67" s="193"/>
      <c r="C67" s="193"/>
      <c r="D67" s="193"/>
      <c r="E67" s="193"/>
      <c r="F67" s="193"/>
      <c r="G67" s="193"/>
      <c r="H67" s="193"/>
      <c r="I67" s="193"/>
      <c r="J67" s="193"/>
      <c r="K67" s="193"/>
    </row>
    <row r="68" spans="1:11" s="29" customFormat="1">
      <c r="A68" s="193"/>
      <c r="B68" s="193"/>
      <c r="C68" s="193"/>
      <c r="D68" s="193"/>
      <c r="E68" s="193"/>
      <c r="F68" s="193"/>
      <c r="G68" s="193"/>
      <c r="H68" s="193"/>
      <c r="I68" s="193"/>
      <c r="J68" s="193"/>
      <c r="K68" s="193"/>
    </row>
    <row r="69" spans="1:11" s="29" customFormat="1">
      <c r="A69" s="193"/>
      <c r="B69" s="193"/>
      <c r="C69" s="193"/>
      <c r="D69" s="193"/>
      <c r="E69" s="193"/>
      <c r="F69" s="193"/>
      <c r="G69" s="193"/>
      <c r="H69" s="193"/>
      <c r="I69" s="193"/>
      <c r="J69" s="193"/>
      <c r="K69" s="193"/>
    </row>
    <row r="70" spans="1:11" s="29" customFormat="1">
      <c r="A70" s="193"/>
      <c r="B70" s="193"/>
      <c r="C70" s="193"/>
      <c r="D70" s="193"/>
      <c r="E70" s="193"/>
      <c r="F70" s="193"/>
      <c r="G70" s="193"/>
      <c r="H70" s="193"/>
      <c r="I70" s="193"/>
      <c r="J70" s="193"/>
      <c r="K70" s="193"/>
    </row>
    <row r="71" spans="1:11" s="29" customFormat="1">
      <c r="A71" s="193"/>
      <c r="B71" s="193"/>
      <c r="C71" s="193"/>
      <c r="D71" s="193"/>
      <c r="E71" s="193"/>
      <c r="F71" s="193"/>
      <c r="G71" s="193"/>
      <c r="H71" s="193"/>
      <c r="I71" s="193"/>
      <c r="J71" s="193"/>
      <c r="K71" s="193"/>
    </row>
    <row r="72" spans="1:11" s="29" customFormat="1">
      <c r="A72" s="193"/>
      <c r="B72" s="193"/>
      <c r="C72" s="193"/>
      <c r="D72" s="193"/>
      <c r="E72" s="193"/>
      <c r="F72" s="193"/>
      <c r="G72" s="193"/>
      <c r="H72" s="193"/>
      <c r="I72" s="193"/>
      <c r="J72" s="193"/>
      <c r="K72" s="193"/>
    </row>
    <row r="73" spans="1:11" s="29" customFormat="1">
      <c r="A73" s="193"/>
      <c r="B73" s="193"/>
      <c r="C73" s="193"/>
      <c r="D73" s="193"/>
      <c r="E73" s="193"/>
      <c r="F73" s="193"/>
      <c r="G73" s="193"/>
      <c r="H73" s="193"/>
      <c r="I73" s="193"/>
      <c r="J73" s="193"/>
      <c r="K73" s="193"/>
    </row>
    <row r="74" spans="1:11" s="29" customFormat="1">
      <c r="A74" s="193"/>
      <c r="B74" s="193"/>
      <c r="C74" s="193"/>
      <c r="D74" s="193"/>
      <c r="E74" s="193"/>
      <c r="F74" s="193"/>
      <c r="G74" s="193"/>
      <c r="H74" s="193"/>
      <c r="I74" s="193"/>
      <c r="J74" s="193"/>
      <c r="K74" s="193"/>
    </row>
    <row r="75" spans="1:11" s="29" customFormat="1">
      <c r="A75" s="193"/>
      <c r="B75" s="193"/>
      <c r="C75" s="193"/>
      <c r="D75" s="193"/>
      <c r="E75" s="193"/>
      <c r="F75" s="193"/>
      <c r="G75" s="193"/>
      <c r="H75" s="193"/>
      <c r="I75" s="193"/>
      <c r="J75" s="193"/>
      <c r="K75" s="193"/>
    </row>
    <row r="76" spans="1:11" s="29" customFormat="1">
      <c r="A76" s="193"/>
      <c r="B76" s="193"/>
      <c r="C76" s="193"/>
      <c r="D76" s="193"/>
      <c r="E76" s="193"/>
      <c r="F76" s="193"/>
      <c r="G76" s="193"/>
      <c r="H76" s="193"/>
      <c r="I76" s="193"/>
      <c r="J76" s="193"/>
      <c r="K76" s="193"/>
    </row>
    <row r="77" spans="1:11" s="29" customFormat="1">
      <c r="A77" s="193"/>
      <c r="B77" s="193"/>
      <c r="C77" s="193"/>
      <c r="D77" s="193"/>
      <c r="E77" s="193"/>
      <c r="F77" s="193"/>
      <c r="G77" s="193"/>
      <c r="H77" s="193"/>
      <c r="I77" s="193"/>
      <c r="J77" s="193"/>
      <c r="K77" s="193"/>
    </row>
    <row r="78" spans="1:11" s="29" customFormat="1">
      <c r="A78" s="193"/>
      <c r="B78" s="193"/>
      <c r="C78" s="193"/>
      <c r="D78" s="193"/>
      <c r="E78" s="193"/>
      <c r="F78" s="193"/>
      <c r="G78" s="193"/>
      <c r="H78" s="193"/>
      <c r="I78" s="193"/>
      <c r="J78" s="193"/>
      <c r="K78" s="193"/>
    </row>
    <row r="79" spans="1:11" s="29" customFormat="1">
      <c r="A79" s="193"/>
      <c r="B79" s="193"/>
      <c r="C79" s="193"/>
      <c r="D79" s="193"/>
      <c r="E79" s="193"/>
      <c r="F79" s="193"/>
      <c r="G79" s="193"/>
      <c r="H79" s="193"/>
      <c r="I79" s="193"/>
      <c r="J79" s="193"/>
      <c r="K79" s="193"/>
    </row>
    <row r="80" spans="1:11" s="29" customFormat="1">
      <c r="A80" s="193"/>
      <c r="B80" s="193"/>
      <c r="C80" s="193"/>
      <c r="D80" s="193"/>
      <c r="E80" s="193"/>
      <c r="F80" s="193"/>
      <c r="G80" s="193"/>
      <c r="H80" s="193"/>
      <c r="I80" s="193"/>
      <c r="J80" s="193"/>
      <c r="K80" s="193"/>
    </row>
    <row r="81" spans="1:11" s="29" customFormat="1">
      <c r="A81" s="193"/>
      <c r="B81" s="193"/>
      <c r="C81" s="193"/>
      <c r="D81" s="193"/>
      <c r="E81" s="193"/>
      <c r="F81" s="193"/>
      <c r="G81" s="193"/>
      <c r="H81" s="193"/>
      <c r="I81" s="193"/>
      <c r="J81" s="193"/>
      <c r="K81" s="193"/>
    </row>
    <row r="82" spans="1:11" s="29" customFormat="1">
      <c r="A82" s="193"/>
      <c r="B82" s="193"/>
      <c r="C82" s="193"/>
      <c r="D82" s="193"/>
      <c r="E82" s="193"/>
      <c r="F82" s="193"/>
      <c r="G82" s="193"/>
      <c r="H82" s="193"/>
      <c r="I82" s="193"/>
      <c r="J82" s="193"/>
      <c r="K82" s="193"/>
    </row>
    <row r="83" spans="1:11" s="29" customFormat="1">
      <c r="A83" s="193"/>
      <c r="B83" s="193"/>
      <c r="C83" s="193"/>
      <c r="D83" s="193"/>
      <c r="E83" s="193"/>
      <c r="F83" s="193"/>
      <c r="G83" s="193"/>
      <c r="H83" s="193"/>
      <c r="I83" s="193"/>
      <c r="J83" s="193"/>
      <c r="K83" s="193"/>
    </row>
    <row r="84" spans="1:11" s="29" customFormat="1">
      <c r="A84" s="193"/>
      <c r="B84" s="193"/>
      <c r="C84" s="193"/>
      <c r="D84" s="193"/>
      <c r="E84" s="193"/>
      <c r="F84" s="193"/>
      <c r="G84" s="193"/>
      <c r="H84" s="193"/>
      <c r="I84" s="193"/>
      <c r="J84" s="193"/>
      <c r="K84" s="193"/>
    </row>
    <row r="85" spans="1:11" s="29" customFormat="1">
      <c r="A85" s="193"/>
      <c r="B85" s="193"/>
      <c r="C85" s="193"/>
      <c r="D85" s="193"/>
      <c r="E85" s="193"/>
      <c r="F85" s="193"/>
      <c r="G85" s="193"/>
      <c r="H85" s="193"/>
      <c r="I85" s="193"/>
      <c r="J85" s="193"/>
      <c r="K85" s="193"/>
    </row>
    <row r="86" spans="1:11" s="29" customFormat="1">
      <c r="A86" s="193"/>
      <c r="B86" s="193"/>
      <c r="C86" s="193"/>
      <c r="D86" s="193"/>
      <c r="E86" s="193"/>
      <c r="F86" s="193"/>
      <c r="G86" s="193"/>
      <c r="H86" s="193"/>
      <c r="I86" s="193"/>
      <c r="J86" s="193"/>
      <c r="K86" s="193"/>
    </row>
    <row r="87" spans="1:11" s="29" customFormat="1">
      <c r="A87" s="193"/>
      <c r="B87" s="193"/>
      <c r="C87" s="193"/>
      <c r="D87" s="193"/>
      <c r="E87" s="193"/>
      <c r="F87" s="193"/>
      <c r="G87" s="193"/>
      <c r="H87" s="193"/>
      <c r="I87" s="193"/>
      <c r="J87" s="193"/>
      <c r="K87" s="193"/>
    </row>
    <row r="88" spans="1:11" s="29" customFormat="1">
      <c r="A88" s="193"/>
      <c r="B88" s="193"/>
      <c r="C88" s="193"/>
      <c r="D88" s="193"/>
      <c r="E88" s="193"/>
      <c r="F88" s="193"/>
      <c r="G88" s="193"/>
      <c r="H88" s="193"/>
      <c r="I88" s="193"/>
      <c r="J88" s="193"/>
      <c r="K88" s="193"/>
    </row>
    <row r="89" spans="1:11" s="29" customFormat="1">
      <c r="A89" s="193"/>
      <c r="B89" s="193"/>
      <c r="C89" s="193"/>
      <c r="D89" s="193"/>
      <c r="E89" s="193"/>
      <c r="F89" s="193"/>
      <c r="G89" s="193"/>
      <c r="H89" s="193"/>
      <c r="I89" s="193"/>
      <c r="J89" s="193"/>
      <c r="K89" s="193"/>
    </row>
    <row r="90" spans="1:11" s="29" customFormat="1">
      <c r="A90" s="193"/>
      <c r="B90" s="193"/>
      <c r="C90" s="193"/>
      <c r="D90" s="193"/>
      <c r="E90" s="193"/>
      <c r="F90" s="193"/>
      <c r="G90" s="193"/>
      <c r="H90" s="193"/>
      <c r="I90" s="193"/>
      <c r="J90" s="193"/>
      <c r="K90" s="193"/>
    </row>
    <row r="91" spans="1:11" s="29" customFormat="1">
      <c r="A91" s="193"/>
      <c r="B91" s="193"/>
      <c r="C91" s="193"/>
      <c r="D91" s="193"/>
      <c r="E91" s="193"/>
      <c r="F91" s="193"/>
      <c r="G91" s="193"/>
      <c r="H91" s="193"/>
      <c r="I91" s="193"/>
      <c r="J91" s="193"/>
      <c r="K91" s="193"/>
    </row>
    <row r="92" spans="1:11" s="29" customFormat="1">
      <c r="A92" s="193"/>
      <c r="B92" s="193"/>
      <c r="C92" s="193"/>
      <c r="D92" s="193"/>
      <c r="E92" s="193"/>
      <c r="F92" s="193"/>
      <c r="G92" s="193"/>
      <c r="H92" s="193"/>
      <c r="I92" s="193"/>
      <c r="J92" s="193"/>
      <c r="K92" s="193"/>
    </row>
    <row r="93" spans="1:11" s="29" customFormat="1">
      <c r="A93" s="193"/>
      <c r="B93" s="193"/>
      <c r="C93" s="193"/>
      <c r="D93" s="193"/>
      <c r="E93" s="193"/>
      <c r="F93" s="193"/>
      <c r="G93" s="193"/>
      <c r="H93" s="193"/>
      <c r="I93" s="193"/>
      <c r="J93" s="193"/>
      <c r="K93" s="193"/>
    </row>
    <row r="94" spans="1:11" s="29" customFormat="1">
      <c r="A94" s="193"/>
      <c r="B94" s="193"/>
      <c r="C94" s="193"/>
      <c r="D94" s="193"/>
      <c r="E94" s="193"/>
      <c r="F94" s="193"/>
      <c r="G94" s="193"/>
      <c r="H94" s="193"/>
      <c r="I94" s="193"/>
      <c r="J94" s="193"/>
      <c r="K94" s="193"/>
    </row>
    <row r="95" spans="1:11" s="29" customFormat="1">
      <c r="A95" s="193"/>
      <c r="B95" s="193"/>
      <c r="C95" s="193"/>
      <c r="D95" s="193"/>
      <c r="E95" s="193"/>
      <c r="F95" s="193"/>
      <c r="G95" s="193"/>
      <c r="H95" s="193"/>
      <c r="I95" s="193"/>
      <c r="J95" s="193"/>
      <c r="K95" s="193"/>
    </row>
    <row r="96" spans="1:11" s="29" customFormat="1">
      <c r="A96" s="193"/>
      <c r="B96" s="193"/>
      <c r="C96" s="193"/>
      <c r="D96" s="193"/>
      <c r="E96" s="193"/>
      <c r="F96" s="193"/>
      <c r="G96" s="193"/>
      <c r="H96" s="193"/>
      <c r="I96" s="193"/>
      <c r="J96" s="193"/>
      <c r="K96" s="193"/>
    </row>
    <row r="97" spans="1:11" s="29" customFormat="1">
      <c r="A97" s="193"/>
      <c r="B97" s="193"/>
      <c r="C97" s="193"/>
      <c r="D97" s="193"/>
      <c r="E97" s="193"/>
      <c r="F97" s="193"/>
      <c r="G97" s="193"/>
      <c r="H97" s="193"/>
      <c r="I97" s="193"/>
      <c r="J97" s="193"/>
      <c r="K97" s="193"/>
    </row>
    <row r="98" spans="1:11" s="29" customFormat="1">
      <c r="A98" s="193"/>
      <c r="B98" s="193"/>
      <c r="C98" s="193"/>
      <c r="D98" s="193"/>
      <c r="E98" s="193"/>
      <c r="F98" s="193"/>
      <c r="G98" s="193"/>
      <c r="H98" s="193"/>
      <c r="I98" s="193"/>
      <c r="J98" s="193"/>
      <c r="K98" s="193"/>
    </row>
    <row r="99" spans="1:11" s="29" customFormat="1">
      <c r="A99" s="193"/>
      <c r="B99" s="193"/>
      <c r="C99" s="193"/>
      <c r="D99" s="193"/>
      <c r="E99" s="193"/>
      <c r="F99" s="193"/>
      <c r="G99" s="193"/>
      <c r="H99" s="193"/>
      <c r="I99" s="193"/>
      <c r="J99" s="193"/>
      <c r="K99" s="193"/>
    </row>
    <row r="100" spans="1:11" s="29" customFormat="1">
      <c r="A100" s="193"/>
      <c r="B100" s="193"/>
      <c r="C100" s="193"/>
      <c r="D100" s="193"/>
      <c r="E100" s="193"/>
      <c r="F100" s="193"/>
      <c r="G100" s="193"/>
      <c r="H100" s="193"/>
      <c r="I100" s="193"/>
      <c r="J100" s="193"/>
      <c r="K100" s="193"/>
    </row>
    <row r="101" spans="1:11" s="29" customFormat="1">
      <c r="A101" s="193"/>
      <c r="B101" s="193"/>
      <c r="C101" s="193"/>
      <c r="D101" s="193"/>
      <c r="E101" s="193"/>
      <c r="F101" s="193"/>
      <c r="G101" s="193"/>
      <c r="H101" s="193"/>
      <c r="I101" s="193"/>
      <c r="J101" s="193"/>
      <c r="K101" s="193"/>
    </row>
    <row r="102" spans="1:11" s="29" customFormat="1">
      <c r="A102" s="193"/>
      <c r="B102" s="193"/>
      <c r="C102" s="193"/>
      <c r="D102" s="193"/>
      <c r="E102" s="193"/>
      <c r="F102" s="193"/>
      <c r="G102" s="193"/>
      <c r="H102" s="193"/>
      <c r="I102" s="193"/>
      <c r="J102" s="193"/>
      <c r="K102" s="193"/>
    </row>
    <row r="103" spans="1:11" s="29" customFormat="1">
      <c r="A103" s="193"/>
      <c r="B103" s="193"/>
      <c r="C103" s="193"/>
      <c r="D103" s="193"/>
      <c r="E103" s="193"/>
      <c r="F103" s="193"/>
      <c r="G103" s="193"/>
      <c r="H103" s="193"/>
      <c r="I103" s="193"/>
      <c r="J103" s="193"/>
      <c r="K103" s="193"/>
    </row>
    <row r="104" spans="1:11" s="29" customFormat="1">
      <c r="A104" s="193"/>
      <c r="B104" s="193"/>
      <c r="C104" s="193"/>
      <c r="D104" s="193"/>
      <c r="E104" s="193"/>
      <c r="F104" s="193"/>
      <c r="G104" s="193"/>
      <c r="H104" s="193"/>
      <c r="I104" s="193"/>
      <c r="J104" s="193"/>
      <c r="K104" s="193"/>
    </row>
    <row r="105" spans="1:11" s="29" customFormat="1">
      <c r="A105" s="193"/>
      <c r="B105" s="193"/>
      <c r="C105" s="193"/>
      <c r="D105" s="193"/>
      <c r="E105" s="193"/>
      <c r="F105" s="193"/>
      <c r="G105" s="193"/>
      <c r="H105" s="193"/>
      <c r="I105" s="193"/>
      <c r="J105" s="193"/>
      <c r="K105" s="193"/>
    </row>
    <row r="106" spans="1:11" s="29" customFormat="1">
      <c r="A106" s="193"/>
      <c r="B106" s="193"/>
      <c r="C106" s="193"/>
      <c r="D106" s="193"/>
      <c r="E106" s="193"/>
      <c r="F106" s="193"/>
      <c r="G106" s="193"/>
      <c r="H106" s="193"/>
      <c r="I106" s="193"/>
      <c r="J106" s="193"/>
      <c r="K106" s="193"/>
    </row>
    <row r="107" spans="1:11" s="29" customFormat="1">
      <c r="A107" s="193"/>
      <c r="B107" s="193"/>
      <c r="C107" s="193"/>
      <c r="D107" s="193"/>
      <c r="E107" s="193"/>
      <c r="F107" s="193"/>
      <c r="G107" s="193"/>
      <c r="H107" s="193"/>
      <c r="I107" s="193"/>
      <c r="J107" s="193"/>
      <c r="K107" s="193"/>
    </row>
    <row r="108" spans="1:11" s="29" customFormat="1">
      <c r="A108" s="193"/>
      <c r="B108" s="193"/>
      <c r="C108" s="193"/>
      <c r="D108" s="193"/>
      <c r="E108" s="193"/>
      <c r="F108" s="193"/>
      <c r="G108" s="193"/>
      <c r="H108" s="193"/>
      <c r="I108" s="193"/>
      <c r="J108" s="193"/>
      <c r="K108" s="193"/>
    </row>
    <row r="109" spans="1:11" s="29" customFormat="1">
      <c r="A109" s="193"/>
      <c r="B109" s="193"/>
      <c r="C109" s="193"/>
      <c r="D109" s="193"/>
      <c r="E109" s="193"/>
      <c r="F109" s="193"/>
      <c r="G109" s="193"/>
      <c r="H109" s="193"/>
      <c r="I109" s="193"/>
      <c r="J109" s="193"/>
      <c r="K109" s="193"/>
    </row>
    <row r="110" spans="1:11" s="29" customFormat="1">
      <c r="A110" s="193"/>
      <c r="B110" s="193"/>
      <c r="C110" s="193"/>
      <c r="D110" s="193"/>
      <c r="E110" s="193"/>
      <c r="F110" s="193"/>
      <c r="G110" s="193"/>
      <c r="H110" s="193"/>
      <c r="I110" s="193"/>
      <c r="J110" s="193"/>
      <c r="K110" s="193"/>
    </row>
    <row r="111" spans="1:11" s="29" customFormat="1">
      <c r="A111" s="193"/>
      <c r="B111" s="193"/>
      <c r="C111" s="193"/>
      <c r="D111" s="193"/>
      <c r="E111" s="193"/>
      <c r="F111" s="193"/>
      <c r="G111" s="193"/>
      <c r="H111" s="193"/>
      <c r="I111" s="193"/>
      <c r="J111" s="193"/>
      <c r="K111" s="193"/>
    </row>
    <row r="112" spans="1:11" s="29" customFormat="1">
      <c r="A112" s="193"/>
      <c r="B112" s="193"/>
      <c r="C112" s="193"/>
      <c r="D112" s="193"/>
      <c r="E112" s="193"/>
      <c r="F112" s="193"/>
      <c r="G112" s="193"/>
      <c r="H112" s="193"/>
      <c r="I112" s="193"/>
      <c r="J112" s="193"/>
      <c r="K112" s="193"/>
    </row>
    <row r="113" spans="1:11" s="29" customFormat="1">
      <c r="A113" s="193"/>
      <c r="B113" s="193"/>
      <c r="C113" s="193"/>
      <c r="D113" s="193"/>
      <c r="E113" s="193"/>
      <c r="F113" s="193"/>
      <c r="G113" s="193"/>
      <c r="H113" s="193"/>
      <c r="I113" s="193"/>
      <c r="J113" s="193"/>
      <c r="K113" s="193"/>
    </row>
    <row r="114" spans="1:11" s="29" customFormat="1">
      <c r="A114" s="193"/>
      <c r="B114" s="193"/>
      <c r="C114" s="193"/>
      <c r="D114" s="193"/>
      <c r="E114" s="193"/>
      <c r="F114" s="193"/>
      <c r="G114" s="193"/>
      <c r="H114" s="193"/>
      <c r="I114" s="193"/>
      <c r="J114" s="193"/>
      <c r="K114" s="193"/>
    </row>
    <row r="115" spans="1:11" s="29" customFormat="1">
      <c r="A115" s="193"/>
      <c r="B115" s="193"/>
      <c r="C115" s="193"/>
      <c r="D115" s="193"/>
      <c r="E115" s="193"/>
      <c r="F115" s="193"/>
      <c r="G115" s="193"/>
      <c r="H115" s="193"/>
      <c r="I115" s="193"/>
      <c r="J115" s="193"/>
      <c r="K115" s="193"/>
    </row>
    <row r="116" spans="1:11" s="29" customFormat="1">
      <c r="A116" s="193"/>
      <c r="B116" s="193"/>
      <c r="C116" s="193"/>
      <c r="D116" s="193"/>
      <c r="E116" s="193"/>
      <c r="F116" s="193"/>
      <c r="G116" s="193"/>
      <c r="H116" s="193"/>
      <c r="I116" s="193"/>
      <c r="J116" s="193"/>
      <c r="K116" s="193"/>
    </row>
    <row r="117" spans="1:11" s="29" customFormat="1">
      <c r="A117" s="193"/>
      <c r="B117" s="193"/>
      <c r="C117" s="193"/>
      <c r="D117" s="193"/>
      <c r="E117" s="193"/>
      <c r="F117" s="193"/>
      <c r="G117" s="193"/>
      <c r="H117" s="193"/>
      <c r="I117" s="193"/>
      <c r="J117" s="193"/>
      <c r="K117" s="193"/>
    </row>
    <row r="118" spans="1:11" s="29" customFormat="1">
      <c r="A118" s="193"/>
      <c r="B118" s="193"/>
      <c r="C118" s="193"/>
      <c r="D118" s="193"/>
      <c r="E118" s="193"/>
      <c r="F118" s="193"/>
      <c r="G118" s="193"/>
      <c r="H118" s="193"/>
      <c r="I118" s="193"/>
      <c r="J118" s="193"/>
      <c r="K118" s="193"/>
    </row>
    <row r="119" spans="1:11" s="29" customFormat="1">
      <c r="A119" s="193"/>
      <c r="B119" s="193"/>
      <c r="C119" s="193"/>
      <c r="D119" s="193"/>
      <c r="E119" s="193"/>
      <c r="F119" s="193"/>
      <c r="G119" s="193"/>
      <c r="H119" s="193"/>
      <c r="I119" s="193"/>
      <c r="J119" s="193"/>
      <c r="K119" s="193"/>
    </row>
    <row r="120" spans="1:11" s="29" customFormat="1">
      <c r="A120" s="193"/>
      <c r="B120" s="193"/>
      <c r="C120" s="193"/>
      <c r="D120" s="193"/>
      <c r="E120" s="193"/>
      <c r="F120" s="193"/>
      <c r="G120" s="193"/>
      <c r="H120" s="193"/>
      <c r="I120" s="193"/>
      <c r="J120" s="193"/>
      <c r="K120" s="193"/>
    </row>
    <row r="121" spans="1:11" s="29" customFormat="1">
      <c r="A121" s="193"/>
      <c r="B121" s="193"/>
      <c r="C121" s="193"/>
      <c r="D121" s="193"/>
      <c r="E121" s="193"/>
      <c r="F121" s="193"/>
      <c r="G121" s="193"/>
      <c r="H121" s="193"/>
      <c r="I121" s="193"/>
      <c r="J121" s="193"/>
      <c r="K121" s="193"/>
    </row>
    <row r="122" spans="1:11" s="29" customFormat="1">
      <c r="A122" s="193"/>
      <c r="B122" s="193"/>
      <c r="C122" s="193"/>
      <c r="D122" s="193"/>
      <c r="E122" s="193"/>
      <c r="F122" s="193"/>
      <c r="G122" s="193"/>
      <c r="H122" s="193"/>
      <c r="I122" s="193"/>
      <c r="J122" s="193"/>
      <c r="K122" s="193"/>
    </row>
    <row r="123" spans="1:11" s="29" customFormat="1">
      <c r="A123" s="193"/>
      <c r="B123" s="193"/>
      <c r="C123" s="193"/>
      <c r="D123" s="193"/>
      <c r="E123" s="193"/>
      <c r="F123" s="193"/>
      <c r="G123" s="193"/>
      <c r="H123" s="193"/>
      <c r="I123" s="193"/>
      <c r="J123" s="193"/>
      <c r="K123" s="193"/>
    </row>
    <row r="124" spans="1:11" s="29" customFormat="1">
      <c r="A124" s="193"/>
      <c r="B124" s="193"/>
      <c r="C124" s="193"/>
      <c r="D124" s="193"/>
      <c r="E124" s="193"/>
      <c r="F124" s="193"/>
      <c r="G124" s="193"/>
      <c r="H124" s="193"/>
      <c r="I124" s="193"/>
      <c r="J124" s="193"/>
      <c r="K124" s="193"/>
    </row>
    <row r="125" spans="1:11" s="29" customFormat="1">
      <c r="A125" s="193"/>
      <c r="B125" s="193"/>
      <c r="C125" s="193"/>
      <c r="D125" s="193"/>
      <c r="E125" s="193"/>
      <c r="F125" s="193"/>
      <c r="G125" s="193"/>
      <c r="H125" s="193"/>
      <c r="I125" s="193"/>
      <c r="J125" s="193"/>
      <c r="K125" s="193"/>
    </row>
    <row r="126" spans="1:11" s="29" customFormat="1">
      <c r="A126" s="193"/>
      <c r="B126" s="193"/>
      <c r="C126" s="193"/>
      <c r="D126" s="193"/>
      <c r="E126" s="193"/>
      <c r="F126" s="193"/>
      <c r="G126" s="193"/>
      <c r="H126" s="193"/>
      <c r="I126" s="193"/>
      <c r="J126" s="193"/>
      <c r="K126" s="193"/>
    </row>
    <row r="127" spans="1:11" s="29" customFormat="1">
      <c r="A127" s="193"/>
      <c r="B127" s="193"/>
      <c r="C127" s="193"/>
      <c r="D127" s="193"/>
      <c r="E127" s="193"/>
      <c r="F127" s="193"/>
      <c r="G127" s="193"/>
      <c r="H127" s="193"/>
      <c r="I127" s="193"/>
      <c r="J127" s="193"/>
      <c r="K127" s="193"/>
    </row>
    <row r="128" spans="1:11" s="29" customFormat="1">
      <c r="A128" s="193"/>
      <c r="B128" s="193"/>
      <c r="C128" s="193"/>
      <c r="D128" s="193"/>
      <c r="E128" s="193"/>
      <c r="F128" s="193"/>
      <c r="G128" s="193"/>
      <c r="H128" s="193"/>
      <c r="I128" s="193"/>
      <c r="J128" s="193"/>
      <c r="K128" s="193"/>
    </row>
    <row r="129" spans="1:11" s="29" customFormat="1">
      <c r="A129" s="193"/>
      <c r="B129" s="193"/>
      <c r="C129" s="193"/>
      <c r="D129" s="193"/>
      <c r="E129" s="193"/>
      <c r="F129" s="193"/>
      <c r="G129" s="193"/>
      <c r="H129" s="193"/>
      <c r="I129" s="193"/>
      <c r="J129" s="193"/>
      <c r="K129" s="193"/>
    </row>
    <row r="130" spans="1:11" s="29" customFormat="1">
      <c r="A130" s="193"/>
      <c r="B130" s="193"/>
      <c r="C130" s="193"/>
      <c r="D130" s="193"/>
      <c r="E130" s="193"/>
      <c r="F130" s="193"/>
      <c r="G130" s="193"/>
      <c r="H130" s="193"/>
      <c r="I130" s="193"/>
      <c r="J130" s="193"/>
      <c r="K130" s="193"/>
    </row>
    <row r="131" spans="1:11" s="29" customFormat="1">
      <c r="A131" s="193"/>
      <c r="B131" s="193"/>
      <c r="C131" s="193"/>
      <c r="D131" s="193"/>
      <c r="E131" s="193"/>
      <c r="F131" s="193"/>
      <c r="G131" s="193"/>
      <c r="H131" s="193"/>
      <c r="I131" s="193"/>
      <c r="J131" s="193"/>
      <c r="K131" s="193"/>
    </row>
    <row r="132" spans="1:11" s="29" customFormat="1">
      <c r="A132" s="193"/>
      <c r="B132" s="193"/>
      <c r="C132" s="193"/>
      <c r="D132" s="193"/>
      <c r="E132" s="193"/>
      <c r="F132" s="193"/>
      <c r="G132" s="193"/>
      <c r="H132" s="193"/>
      <c r="I132" s="193"/>
      <c r="J132" s="193"/>
      <c r="K132" s="193"/>
    </row>
    <row r="133" spans="1:11" s="29" customFormat="1">
      <c r="A133" s="193"/>
      <c r="B133" s="193"/>
      <c r="C133" s="193"/>
      <c r="D133" s="193"/>
      <c r="E133" s="193"/>
      <c r="F133" s="193"/>
      <c r="G133" s="193"/>
      <c r="H133" s="193"/>
      <c r="I133" s="193"/>
      <c r="J133" s="193"/>
      <c r="K133" s="193"/>
    </row>
    <row r="134" spans="1:11" s="29" customFormat="1">
      <c r="A134" s="193"/>
      <c r="B134" s="193"/>
      <c r="C134" s="193"/>
      <c r="D134" s="193"/>
      <c r="E134" s="193"/>
      <c r="F134" s="193"/>
      <c r="G134" s="193"/>
      <c r="H134" s="193"/>
      <c r="I134" s="193"/>
      <c r="J134" s="193"/>
      <c r="K134" s="193"/>
    </row>
    <row r="135" spans="1:11" s="29" customFormat="1">
      <c r="A135" s="193"/>
      <c r="B135" s="193"/>
      <c r="C135" s="193"/>
      <c r="D135" s="193"/>
      <c r="E135" s="193"/>
      <c r="F135" s="193"/>
      <c r="G135" s="193"/>
      <c r="H135" s="193"/>
      <c r="I135" s="193"/>
      <c r="J135" s="193"/>
      <c r="K135" s="193"/>
    </row>
    <row r="136" spans="1:11" s="29" customFormat="1">
      <c r="A136" s="193"/>
      <c r="B136" s="193"/>
      <c r="C136" s="193"/>
      <c r="D136" s="193"/>
      <c r="E136" s="193"/>
      <c r="F136" s="193"/>
      <c r="G136" s="193"/>
      <c r="H136" s="193"/>
      <c r="I136" s="193"/>
      <c r="J136" s="193"/>
      <c r="K136" s="193"/>
    </row>
    <row r="137" spans="1:11" s="29" customFormat="1">
      <c r="A137" s="193"/>
      <c r="B137" s="193"/>
      <c r="C137" s="193"/>
      <c r="D137" s="193"/>
      <c r="E137" s="193"/>
      <c r="F137" s="193"/>
      <c r="G137" s="193"/>
      <c r="H137" s="193"/>
      <c r="I137" s="193"/>
      <c r="J137" s="193"/>
      <c r="K137" s="193"/>
    </row>
    <row r="138" spans="1:11" s="29" customFormat="1">
      <c r="A138" s="193"/>
      <c r="B138" s="193"/>
      <c r="C138" s="193"/>
      <c r="D138" s="193"/>
      <c r="E138" s="193"/>
      <c r="F138" s="193"/>
      <c r="G138" s="193"/>
      <c r="H138" s="193"/>
      <c r="I138" s="193"/>
      <c r="J138" s="193"/>
      <c r="K138" s="193"/>
    </row>
    <row r="139" spans="1:11" s="29" customFormat="1">
      <c r="A139" s="193"/>
      <c r="B139" s="193"/>
      <c r="C139" s="193"/>
      <c r="D139" s="193"/>
      <c r="E139" s="193"/>
      <c r="F139" s="193"/>
      <c r="G139" s="193"/>
      <c r="H139" s="193"/>
      <c r="I139" s="193"/>
      <c r="J139" s="193"/>
      <c r="K139" s="193"/>
    </row>
    <row r="140" spans="1:11" s="29" customFormat="1">
      <c r="A140" s="193"/>
      <c r="B140" s="193"/>
      <c r="C140" s="193"/>
      <c r="D140" s="193"/>
      <c r="E140" s="193"/>
      <c r="F140" s="193"/>
      <c r="G140" s="193"/>
      <c r="H140" s="193"/>
      <c r="I140" s="193"/>
      <c r="J140" s="193"/>
      <c r="K140" s="193"/>
    </row>
    <row r="141" spans="1:11" s="29" customFormat="1">
      <c r="A141" s="193"/>
      <c r="B141" s="193"/>
      <c r="C141" s="193"/>
      <c r="D141" s="193"/>
      <c r="E141" s="193"/>
      <c r="F141" s="193"/>
      <c r="G141" s="193"/>
      <c r="H141" s="193"/>
      <c r="I141" s="193"/>
      <c r="J141" s="193"/>
      <c r="K141" s="193"/>
    </row>
    <row r="142" spans="1:11" s="29" customFormat="1">
      <c r="A142" s="193"/>
      <c r="B142" s="193"/>
      <c r="C142" s="193"/>
      <c r="D142" s="193"/>
      <c r="E142" s="193"/>
      <c r="F142" s="193"/>
      <c r="G142" s="193"/>
      <c r="H142" s="193"/>
      <c r="I142" s="193"/>
      <c r="J142" s="193"/>
      <c r="K142" s="193"/>
    </row>
    <row r="143" spans="1:11" s="29" customFormat="1">
      <c r="A143" s="193"/>
      <c r="B143" s="193"/>
      <c r="C143" s="193"/>
      <c r="D143" s="193"/>
      <c r="E143" s="193"/>
      <c r="F143" s="193"/>
      <c r="G143" s="193"/>
      <c r="H143" s="193"/>
      <c r="I143" s="193"/>
      <c r="J143" s="193"/>
      <c r="K143" s="193"/>
    </row>
    <row r="144" spans="1:11" s="29" customFormat="1">
      <c r="A144" s="193"/>
      <c r="B144" s="193"/>
      <c r="C144" s="193"/>
      <c r="D144" s="193"/>
      <c r="E144" s="193"/>
      <c r="F144" s="193"/>
      <c r="G144" s="193"/>
      <c r="H144" s="193"/>
      <c r="I144" s="193"/>
      <c r="J144" s="193"/>
      <c r="K144" s="193"/>
    </row>
    <row r="145" spans="1:11" s="29" customFormat="1">
      <c r="A145" s="193"/>
      <c r="B145" s="193"/>
      <c r="C145" s="193"/>
      <c r="D145" s="193"/>
      <c r="E145" s="193"/>
      <c r="F145" s="193"/>
      <c r="G145" s="193"/>
      <c r="H145" s="193"/>
      <c r="I145" s="193"/>
      <c r="J145" s="193"/>
      <c r="K145" s="193"/>
    </row>
    <row r="146" spans="1:11" s="29" customFormat="1">
      <c r="A146" s="193"/>
      <c r="B146" s="193"/>
      <c r="C146" s="193"/>
      <c r="D146" s="193"/>
      <c r="E146" s="193"/>
      <c r="F146" s="193"/>
      <c r="G146" s="193"/>
      <c r="H146" s="193"/>
      <c r="I146" s="193"/>
      <c r="J146" s="193"/>
      <c r="K146" s="193"/>
    </row>
    <row r="147" spans="1:11" s="29" customFormat="1">
      <c r="A147" s="193"/>
      <c r="B147" s="193"/>
      <c r="C147" s="193"/>
      <c r="D147" s="193"/>
      <c r="E147" s="193"/>
      <c r="F147" s="193"/>
      <c r="G147" s="193"/>
      <c r="H147" s="193"/>
      <c r="I147" s="193"/>
      <c r="J147" s="193"/>
      <c r="K147" s="193"/>
    </row>
    <row r="148" spans="1:11" s="29" customFormat="1">
      <c r="A148" s="193"/>
      <c r="B148" s="193"/>
      <c r="C148" s="193"/>
      <c r="D148" s="193"/>
      <c r="E148" s="193"/>
      <c r="F148" s="193"/>
      <c r="G148" s="193"/>
      <c r="H148" s="193"/>
      <c r="I148" s="193"/>
      <c r="J148" s="193"/>
      <c r="K148" s="193"/>
    </row>
    <row r="149" spans="1:11" s="29" customFormat="1">
      <c r="A149" s="193"/>
      <c r="B149" s="193"/>
      <c r="C149" s="193"/>
      <c r="D149" s="193"/>
      <c r="E149" s="193"/>
      <c r="F149" s="193"/>
      <c r="G149" s="193"/>
      <c r="H149" s="193"/>
      <c r="I149" s="193"/>
      <c r="J149" s="193"/>
      <c r="K149" s="193"/>
    </row>
    <row r="150" spans="1:11" s="29" customFormat="1">
      <c r="A150" s="193"/>
      <c r="B150" s="193"/>
      <c r="C150" s="193"/>
      <c r="D150" s="193"/>
      <c r="E150" s="193"/>
      <c r="F150" s="193"/>
      <c r="G150" s="193"/>
      <c r="H150" s="193"/>
      <c r="I150" s="193"/>
      <c r="J150" s="193"/>
      <c r="K150" s="193"/>
    </row>
    <row r="151" spans="1:11" s="29" customFormat="1">
      <c r="A151" s="193"/>
      <c r="B151" s="193"/>
      <c r="C151" s="193"/>
      <c r="D151" s="193"/>
      <c r="E151" s="193"/>
      <c r="F151" s="193"/>
      <c r="G151" s="193"/>
      <c r="H151" s="193"/>
      <c r="I151" s="193"/>
      <c r="J151" s="193"/>
      <c r="K151" s="193"/>
    </row>
    <row r="152" spans="1:11" s="29" customFormat="1">
      <c r="A152" s="193"/>
      <c r="B152" s="193"/>
      <c r="C152" s="193"/>
      <c r="D152" s="193"/>
      <c r="E152" s="193"/>
      <c r="F152" s="193"/>
      <c r="G152" s="193"/>
      <c r="H152" s="193"/>
      <c r="I152" s="193"/>
      <c r="J152" s="193"/>
      <c r="K152" s="193"/>
    </row>
    <row r="153" spans="1:11" s="29" customFormat="1">
      <c r="A153" s="193"/>
      <c r="B153" s="193"/>
      <c r="C153" s="193"/>
      <c r="D153" s="193"/>
      <c r="E153" s="193"/>
      <c r="F153" s="193"/>
      <c r="G153" s="193"/>
      <c r="H153" s="193"/>
      <c r="I153" s="193"/>
      <c r="J153" s="193"/>
      <c r="K153" s="193"/>
    </row>
    <row r="154" spans="1:11" s="29" customFormat="1">
      <c r="A154" s="193"/>
      <c r="B154" s="193"/>
      <c r="C154" s="193"/>
      <c r="D154" s="193"/>
      <c r="E154" s="193"/>
      <c r="F154" s="193"/>
      <c r="G154" s="193"/>
      <c r="H154" s="193"/>
      <c r="I154" s="193"/>
      <c r="J154" s="193"/>
      <c r="K154" s="193"/>
    </row>
    <row r="155" spans="1:11" s="29" customFormat="1">
      <c r="A155" s="193"/>
      <c r="B155" s="193"/>
      <c r="C155" s="193"/>
      <c r="D155" s="193"/>
      <c r="E155" s="193"/>
      <c r="F155" s="193"/>
      <c r="G155" s="193"/>
      <c r="H155" s="193"/>
      <c r="I155" s="193"/>
      <c r="J155" s="193"/>
      <c r="K155" s="193"/>
    </row>
    <row r="156" spans="1:11" s="29" customFormat="1">
      <c r="A156" s="193"/>
      <c r="B156" s="193"/>
      <c r="C156" s="193"/>
      <c r="D156" s="193"/>
      <c r="E156" s="193"/>
      <c r="F156" s="193"/>
      <c r="G156" s="193"/>
      <c r="H156" s="193"/>
      <c r="I156" s="193"/>
      <c r="J156" s="193"/>
      <c r="K156" s="193"/>
    </row>
    <row r="157" spans="1:11" s="29" customFormat="1">
      <c r="A157" s="193"/>
      <c r="B157" s="193"/>
      <c r="C157" s="193"/>
      <c r="D157" s="193"/>
      <c r="E157" s="193"/>
      <c r="F157" s="193"/>
      <c r="G157" s="193"/>
      <c r="H157" s="193"/>
      <c r="I157" s="193"/>
      <c r="J157" s="193"/>
      <c r="K157" s="193"/>
    </row>
    <row r="158" spans="1:11" s="29" customFormat="1">
      <c r="A158" s="193"/>
      <c r="B158" s="193"/>
      <c r="C158" s="193"/>
      <c r="D158" s="193"/>
      <c r="E158" s="193"/>
      <c r="F158" s="193"/>
      <c r="G158" s="193"/>
      <c r="H158" s="193"/>
      <c r="I158" s="193"/>
      <c r="J158" s="193"/>
      <c r="K158" s="193"/>
    </row>
    <row r="159" spans="1:11" s="29" customFormat="1">
      <c r="A159" s="193"/>
      <c r="B159" s="193"/>
      <c r="C159" s="193"/>
      <c r="D159" s="193"/>
      <c r="E159" s="193"/>
      <c r="F159" s="193"/>
      <c r="G159" s="193"/>
      <c r="H159" s="193"/>
      <c r="I159" s="193"/>
      <c r="J159" s="193"/>
      <c r="K159" s="193"/>
    </row>
    <row r="160" spans="1:11" s="29" customFormat="1">
      <c r="A160" s="193"/>
      <c r="B160" s="193"/>
      <c r="C160" s="193"/>
      <c r="D160" s="193"/>
      <c r="E160" s="193"/>
      <c r="F160" s="193"/>
      <c r="G160" s="193"/>
      <c r="H160" s="193"/>
      <c r="I160" s="193"/>
      <c r="J160" s="193"/>
      <c r="K160" s="193"/>
    </row>
    <row r="161" spans="1:11" s="29" customFormat="1">
      <c r="A161" s="193"/>
      <c r="B161" s="193"/>
      <c r="C161" s="193"/>
      <c r="D161" s="193"/>
      <c r="E161" s="193"/>
      <c r="F161" s="193"/>
      <c r="G161" s="193"/>
      <c r="H161" s="193"/>
      <c r="I161" s="193"/>
      <c r="J161" s="193"/>
      <c r="K161" s="193"/>
    </row>
    <row r="162" spans="1:11" s="29" customFormat="1">
      <c r="A162" s="193"/>
      <c r="B162" s="193"/>
      <c r="C162" s="193"/>
      <c r="D162" s="193"/>
      <c r="E162" s="193"/>
      <c r="F162" s="193"/>
      <c r="G162" s="193"/>
      <c r="H162" s="193"/>
      <c r="I162" s="193"/>
      <c r="J162" s="193"/>
      <c r="K162" s="193"/>
    </row>
    <row r="163" spans="1:11" s="29" customFormat="1">
      <c r="A163" s="193"/>
      <c r="B163" s="193"/>
      <c r="C163" s="193"/>
      <c r="D163" s="193"/>
      <c r="E163" s="193"/>
      <c r="F163" s="193"/>
      <c r="G163" s="193"/>
      <c r="H163" s="193"/>
      <c r="I163" s="193"/>
      <c r="J163" s="193"/>
      <c r="K163" s="193"/>
    </row>
    <row r="164" spans="1:11" s="29" customFormat="1">
      <c r="A164" s="193"/>
      <c r="B164" s="193"/>
      <c r="C164" s="193"/>
      <c r="D164" s="193"/>
      <c r="E164" s="193"/>
      <c r="F164" s="193"/>
      <c r="G164" s="193"/>
      <c r="H164" s="193"/>
      <c r="I164" s="193"/>
      <c r="J164" s="193"/>
      <c r="K164" s="193"/>
    </row>
    <row r="165" spans="1:11" s="29" customFormat="1">
      <c r="A165" s="193"/>
      <c r="B165" s="193"/>
      <c r="C165" s="193"/>
      <c r="D165" s="193"/>
      <c r="E165" s="193"/>
      <c r="F165" s="193"/>
      <c r="G165" s="193"/>
      <c r="H165" s="193"/>
      <c r="I165" s="193"/>
      <c r="J165" s="193"/>
      <c r="K165" s="193"/>
    </row>
    <row r="166" spans="1:11" s="29" customFormat="1">
      <c r="A166" s="193"/>
      <c r="B166" s="193"/>
      <c r="C166" s="193"/>
      <c r="D166" s="193"/>
      <c r="E166" s="193"/>
      <c r="F166" s="193"/>
      <c r="G166" s="193"/>
      <c r="H166" s="193"/>
      <c r="I166" s="193"/>
      <c r="J166" s="193"/>
      <c r="K166" s="193"/>
    </row>
    <row r="167" spans="1:11" s="29" customFormat="1">
      <c r="A167" s="193"/>
      <c r="B167" s="193"/>
      <c r="C167" s="193"/>
      <c r="D167" s="193"/>
      <c r="E167" s="193"/>
      <c r="F167" s="193"/>
      <c r="G167" s="193"/>
      <c r="H167" s="193"/>
      <c r="I167" s="193"/>
      <c r="J167" s="193"/>
      <c r="K167" s="193"/>
    </row>
    <row r="168" spans="1:11" s="29" customFormat="1">
      <c r="A168" s="193"/>
      <c r="B168" s="193"/>
      <c r="C168" s="193"/>
      <c r="D168" s="193"/>
      <c r="E168" s="193"/>
      <c r="F168" s="193"/>
      <c r="G168" s="193"/>
      <c r="H168" s="193"/>
      <c r="I168" s="193"/>
      <c r="J168" s="193"/>
      <c r="K168" s="193"/>
    </row>
    <row r="169" spans="1:11" s="29" customFormat="1">
      <c r="A169" s="193"/>
      <c r="B169" s="193"/>
      <c r="C169" s="193"/>
      <c r="D169" s="193"/>
      <c r="E169" s="193"/>
      <c r="F169" s="193"/>
      <c r="G169" s="193"/>
      <c r="H169" s="193"/>
      <c r="I169" s="193"/>
      <c r="J169" s="193"/>
      <c r="K169" s="193"/>
    </row>
    <row r="170" spans="1:11" s="29" customFormat="1">
      <c r="A170" s="193"/>
      <c r="B170" s="193"/>
      <c r="C170" s="193"/>
      <c r="D170" s="193"/>
      <c r="E170" s="193"/>
      <c r="F170" s="193"/>
      <c r="G170" s="193"/>
      <c r="H170" s="193"/>
      <c r="I170" s="193"/>
      <c r="J170" s="193"/>
      <c r="K170" s="193"/>
    </row>
    <row r="171" spans="1:11" s="29" customFormat="1">
      <c r="A171" s="193"/>
      <c r="B171" s="193"/>
      <c r="C171" s="193"/>
      <c r="D171" s="193"/>
      <c r="E171" s="193"/>
      <c r="F171" s="193"/>
      <c r="G171" s="193"/>
      <c r="H171" s="193"/>
      <c r="I171" s="193"/>
      <c r="J171" s="193"/>
      <c r="K171" s="193"/>
    </row>
    <row r="172" spans="1:11" s="29" customFormat="1">
      <c r="A172" s="193"/>
      <c r="B172" s="193"/>
      <c r="C172" s="193"/>
      <c r="D172" s="193"/>
      <c r="E172" s="193"/>
      <c r="F172" s="193"/>
      <c r="G172" s="193"/>
      <c r="H172" s="193"/>
      <c r="I172" s="193"/>
      <c r="J172" s="193"/>
      <c r="K172" s="193"/>
    </row>
    <row r="173" spans="1:11" s="29" customFormat="1">
      <c r="A173" s="193"/>
      <c r="B173" s="193"/>
      <c r="C173" s="193"/>
      <c r="D173" s="193"/>
      <c r="E173" s="193"/>
      <c r="F173" s="193"/>
      <c r="G173" s="193"/>
      <c r="H173" s="193"/>
      <c r="I173" s="193"/>
      <c r="J173" s="193"/>
      <c r="K173" s="193"/>
    </row>
    <row r="174" spans="1:11" s="29" customFormat="1">
      <c r="A174" s="193"/>
      <c r="B174" s="193"/>
      <c r="C174" s="193"/>
      <c r="D174" s="193"/>
      <c r="E174" s="193"/>
      <c r="F174" s="193"/>
      <c r="G174" s="193"/>
      <c r="H174" s="193"/>
      <c r="I174" s="193"/>
      <c r="J174" s="193"/>
      <c r="K174" s="193"/>
    </row>
    <row r="175" spans="1:11" s="29" customFormat="1">
      <c r="A175" s="193"/>
      <c r="B175" s="193"/>
      <c r="C175" s="193"/>
      <c r="D175" s="193"/>
      <c r="E175" s="193"/>
      <c r="F175" s="193"/>
      <c r="G175" s="193"/>
      <c r="H175" s="193"/>
      <c r="I175" s="193"/>
      <c r="J175" s="193"/>
      <c r="K175" s="193"/>
    </row>
    <row r="176" spans="1:11" s="29" customFormat="1">
      <c r="A176" s="193"/>
      <c r="B176" s="193"/>
      <c r="C176" s="193"/>
      <c r="D176" s="193"/>
      <c r="E176" s="193"/>
      <c r="F176" s="193"/>
      <c r="G176" s="193"/>
      <c r="H176" s="193"/>
      <c r="I176" s="193"/>
      <c r="J176" s="193"/>
      <c r="K176" s="193"/>
    </row>
    <row r="177" spans="1:11" s="29" customFormat="1">
      <c r="A177" s="193"/>
      <c r="B177" s="193"/>
      <c r="C177" s="193"/>
      <c r="D177" s="193"/>
      <c r="E177" s="193"/>
      <c r="F177" s="193"/>
      <c r="G177" s="193"/>
      <c r="H177" s="193"/>
      <c r="I177" s="193"/>
      <c r="J177" s="193"/>
      <c r="K177" s="193"/>
    </row>
    <row r="178" spans="1:11" s="29" customFormat="1">
      <c r="A178" s="193"/>
      <c r="B178" s="193"/>
      <c r="C178" s="193"/>
      <c r="D178" s="193"/>
      <c r="E178" s="193"/>
      <c r="F178" s="193"/>
      <c r="G178" s="193"/>
      <c r="H178" s="193"/>
      <c r="I178" s="193"/>
      <c r="J178" s="193"/>
      <c r="K178" s="193"/>
    </row>
    <row r="179" spans="1:11" s="29" customFormat="1">
      <c r="A179" s="193"/>
      <c r="B179" s="193"/>
      <c r="C179" s="193"/>
      <c r="D179" s="193"/>
      <c r="E179" s="193"/>
      <c r="F179" s="193"/>
      <c r="G179" s="193"/>
      <c r="H179" s="193"/>
      <c r="I179" s="193"/>
      <c r="J179" s="193"/>
      <c r="K179" s="193"/>
    </row>
    <row r="180" spans="1:11" s="29" customFormat="1">
      <c r="A180" s="193"/>
      <c r="B180" s="193"/>
      <c r="C180" s="193"/>
      <c r="D180" s="193"/>
      <c r="E180" s="193"/>
      <c r="F180" s="193"/>
      <c r="G180" s="193"/>
      <c r="H180" s="193"/>
      <c r="I180" s="193"/>
      <c r="J180" s="193"/>
      <c r="K180" s="193"/>
    </row>
    <row r="181" spans="1:11" s="29" customFormat="1">
      <c r="A181" s="193"/>
      <c r="B181" s="193"/>
      <c r="C181" s="193"/>
      <c r="D181" s="193"/>
      <c r="E181" s="193"/>
      <c r="F181" s="193"/>
      <c r="G181" s="193"/>
      <c r="H181" s="193"/>
      <c r="I181" s="193"/>
      <c r="J181" s="193"/>
      <c r="K181" s="193"/>
    </row>
    <row r="182" spans="1:11" s="29" customFormat="1">
      <c r="A182" s="193"/>
      <c r="B182" s="193"/>
      <c r="C182" s="193"/>
      <c r="D182" s="193"/>
      <c r="E182" s="193"/>
      <c r="F182" s="193"/>
      <c r="G182" s="193"/>
      <c r="H182" s="193"/>
      <c r="I182" s="193"/>
      <c r="J182" s="193"/>
      <c r="K182" s="193"/>
    </row>
    <row r="183" spans="1:11" s="29" customFormat="1">
      <c r="A183" s="193"/>
      <c r="B183" s="193"/>
      <c r="C183" s="193"/>
      <c r="D183" s="193"/>
      <c r="E183" s="193"/>
      <c r="F183" s="193"/>
      <c r="G183" s="193"/>
      <c r="H183" s="193"/>
      <c r="I183" s="193"/>
      <c r="J183" s="193"/>
      <c r="K183" s="193"/>
    </row>
    <row r="184" spans="1:11" s="29" customFormat="1">
      <c r="A184" s="193"/>
      <c r="B184" s="193"/>
      <c r="C184" s="193"/>
      <c r="D184" s="193"/>
      <c r="E184" s="193"/>
      <c r="F184" s="193"/>
      <c r="G184" s="193"/>
      <c r="H184" s="193"/>
      <c r="I184" s="193"/>
      <c r="J184" s="193"/>
      <c r="K184" s="193"/>
    </row>
    <row r="185" spans="1:11" s="29" customFormat="1">
      <c r="A185" s="193"/>
      <c r="B185" s="193"/>
      <c r="C185" s="193"/>
      <c r="D185" s="193"/>
      <c r="E185" s="193"/>
      <c r="F185" s="193"/>
      <c r="G185" s="193"/>
      <c r="H185" s="193"/>
      <c r="I185" s="193"/>
      <c r="J185" s="193"/>
      <c r="K185" s="193"/>
    </row>
    <row r="186" spans="1:11" s="29" customFormat="1">
      <c r="A186" s="193"/>
      <c r="B186" s="193"/>
      <c r="C186" s="193"/>
      <c r="D186" s="193"/>
      <c r="E186" s="193"/>
      <c r="F186" s="193"/>
      <c r="G186" s="193"/>
      <c r="H186" s="193"/>
      <c r="I186" s="193"/>
      <c r="J186" s="193"/>
      <c r="K186" s="193"/>
    </row>
    <row r="187" spans="1:11" s="29" customFormat="1">
      <c r="A187" s="193"/>
      <c r="B187" s="193"/>
      <c r="C187" s="193"/>
      <c r="D187" s="193"/>
      <c r="E187" s="193"/>
      <c r="F187" s="193"/>
      <c r="G187" s="193"/>
      <c r="H187" s="193"/>
      <c r="I187" s="193"/>
      <c r="J187" s="193"/>
      <c r="K187" s="193"/>
    </row>
    <row r="188" spans="1:11" s="29" customFormat="1">
      <c r="A188" s="193"/>
      <c r="B188" s="193"/>
      <c r="C188" s="193"/>
      <c r="D188" s="193"/>
      <c r="E188" s="193"/>
      <c r="F188" s="193"/>
      <c r="G188" s="193"/>
      <c r="H188" s="193"/>
      <c r="I188" s="193"/>
      <c r="J188" s="193"/>
      <c r="K188" s="193"/>
    </row>
    <row r="189" spans="1:11" s="29" customFormat="1">
      <c r="A189" s="193"/>
      <c r="B189" s="193"/>
      <c r="C189" s="193"/>
      <c r="D189" s="193"/>
      <c r="E189" s="193"/>
      <c r="F189" s="193"/>
      <c r="G189" s="193"/>
      <c r="H189" s="193"/>
      <c r="I189" s="193"/>
      <c r="J189" s="193"/>
      <c r="K189" s="193"/>
    </row>
    <row r="190" spans="1:11" s="29" customFormat="1">
      <c r="A190" s="193"/>
      <c r="B190" s="193"/>
      <c r="C190" s="193"/>
      <c r="D190" s="193"/>
      <c r="E190" s="193"/>
      <c r="F190" s="193"/>
      <c r="G190" s="193"/>
      <c r="H190" s="193"/>
      <c r="I190" s="193"/>
      <c r="J190" s="193"/>
      <c r="K190" s="193"/>
    </row>
    <row r="191" spans="1:11" s="29" customFormat="1">
      <c r="A191" s="193"/>
      <c r="B191" s="193"/>
      <c r="C191" s="193"/>
      <c r="D191" s="193"/>
      <c r="E191" s="193"/>
      <c r="F191" s="193"/>
      <c r="G191" s="193"/>
      <c r="H191" s="193"/>
      <c r="I191" s="193"/>
      <c r="J191" s="193"/>
      <c r="K191" s="193"/>
    </row>
    <row r="192" spans="1:11" s="29" customFormat="1">
      <c r="A192" s="193"/>
      <c r="B192" s="193"/>
      <c r="C192" s="193"/>
      <c r="D192" s="193"/>
      <c r="E192" s="193"/>
      <c r="F192" s="193"/>
      <c r="G192" s="193"/>
      <c r="H192" s="193"/>
      <c r="I192" s="193"/>
      <c r="J192" s="193"/>
      <c r="K192" s="193"/>
    </row>
    <row r="193" spans="1:11" s="29" customFormat="1">
      <c r="A193" s="193"/>
      <c r="B193" s="193"/>
      <c r="C193" s="193"/>
      <c r="D193" s="193"/>
      <c r="E193" s="193"/>
      <c r="F193" s="193"/>
      <c r="G193" s="193"/>
      <c r="H193" s="193"/>
      <c r="I193" s="193"/>
      <c r="J193" s="193"/>
      <c r="K193" s="193"/>
    </row>
    <row r="194" spans="1:11" s="29" customFormat="1">
      <c r="A194" s="193"/>
      <c r="B194" s="193"/>
      <c r="C194" s="193"/>
      <c r="D194" s="193"/>
      <c r="E194" s="193"/>
      <c r="F194" s="193"/>
      <c r="G194" s="193"/>
      <c r="H194" s="193"/>
      <c r="I194" s="193"/>
      <c r="J194" s="193"/>
      <c r="K194" s="193"/>
    </row>
    <row r="195" spans="1:11" s="29" customFormat="1">
      <c r="A195" s="193"/>
      <c r="B195" s="193"/>
      <c r="C195" s="193"/>
      <c r="D195" s="193"/>
      <c r="E195" s="193"/>
      <c r="F195" s="193"/>
      <c r="G195" s="193"/>
      <c r="H195" s="193"/>
      <c r="I195" s="193"/>
      <c r="J195" s="193"/>
      <c r="K195" s="193"/>
    </row>
    <row r="196" spans="1:11" s="29" customFormat="1">
      <c r="A196" s="193"/>
      <c r="B196" s="193"/>
      <c r="C196" s="193"/>
      <c r="D196" s="193"/>
      <c r="E196" s="193"/>
      <c r="F196" s="193"/>
      <c r="G196" s="193"/>
      <c r="H196" s="193"/>
      <c r="I196" s="193"/>
      <c r="J196" s="193"/>
      <c r="K196" s="193"/>
    </row>
    <row r="197" spans="1:11" s="29" customFormat="1">
      <c r="A197" s="193"/>
      <c r="B197" s="193"/>
      <c r="C197" s="193"/>
      <c r="D197" s="193"/>
      <c r="E197" s="193"/>
      <c r="F197" s="193"/>
      <c r="G197" s="193"/>
      <c r="H197" s="193"/>
      <c r="I197" s="193"/>
      <c r="J197" s="193"/>
      <c r="K197" s="193"/>
    </row>
    <row r="198" spans="1:11" s="29" customFormat="1">
      <c r="A198" s="193"/>
      <c r="B198" s="193"/>
      <c r="C198" s="193"/>
      <c r="D198" s="193"/>
      <c r="E198" s="193"/>
      <c r="F198" s="193"/>
      <c r="G198" s="193"/>
      <c r="H198" s="193"/>
      <c r="I198" s="193"/>
      <c r="J198" s="193"/>
      <c r="K198" s="193"/>
    </row>
    <row r="199" spans="1:11" s="29" customFormat="1">
      <c r="A199" s="193"/>
      <c r="B199" s="193"/>
      <c r="C199" s="193"/>
      <c r="D199" s="193"/>
      <c r="E199" s="193"/>
      <c r="F199" s="193"/>
      <c r="G199" s="193"/>
      <c r="H199" s="193"/>
      <c r="I199" s="193"/>
      <c r="J199" s="193"/>
      <c r="K199" s="193"/>
    </row>
    <row r="200" spans="1:11" s="29" customFormat="1">
      <c r="A200" s="193"/>
      <c r="B200" s="193"/>
      <c r="C200" s="193"/>
      <c r="D200" s="193"/>
      <c r="E200" s="193"/>
      <c r="F200" s="193"/>
      <c r="G200" s="193"/>
      <c r="H200" s="193"/>
      <c r="I200" s="193"/>
      <c r="J200" s="193"/>
      <c r="K200" s="193"/>
    </row>
    <row r="201" spans="1:11" s="29" customFormat="1">
      <c r="A201" s="193"/>
      <c r="B201" s="193"/>
      <c r="C201" s="193"/>
      <c r="D201" s="193"/>
      <c r="E201" s="193"/>
      <c r="F201" s="193"/>
      <c r="G201" s="193"/>
      <c r="H201" s="193"/>
      <c r="I201" s="193"/>
      <c r="J201" s="193"/>
      <c r="K201" s="193"/>
    </row>
    <row r="202" spans="1:11" s="29" customFormat="1">
      <c r="A202" s="193"/>
      <c r="B202" s="193"/>
      <c r="C202" s="193"/>
      <c r="D202" s="193"/>
      <c r="E202" s="193"/>
      <c r="F202" s="193"/>
      <c r="G202" s="193"/>
      <c r="H202" s="193"/>
      <c r="I202" s="193"/>
      <c r="J202" s="193"/>
      <c r="K202" s="193"/>
    </row>
    <row r="203" spans="1:11" s="29" customFormat="1">
      <c r="A203" s="193"/>
      <c r="B203" s="193"/>
      <c r="C203" s="193"/>
      <c r="D203" s="193"/>
      <c r="E203" s="193"/>
      <c r="F203" s="193"/>
      <c r="G203" s="193"/>
      <c r="H203" s="193"/>
      <c r="I203" s="193"/>
      <c r="J203" s="193"/>
      <c r="K203" s="193"/>
    </row>
    <row r="204" spans="1:11" s="29" customFormat="1">
      <c r="A204" s="193"/>
      <c r="B204" s="193"/>
      <c r="C204" s="193"/>
      <c r="D204" s="193"/>
      <c r="E204" s="193"/>
      <c r="F204" s="193"/>
      <c r="G204" s="193"/>
      <c r="H204" s="193"/>
      <c r="I204" s="193"/>
      <c r="J204" s="193"/>
      <c r="K204" s="193"/>
    </row>
    <row r="205" spans="1:11" s="29" customFormat="1">
      <c r="A205" s="193"/>
      <c r="B205" s="193"/>
      <c r="C205" s="193"/>
      <c r="D205" s="193"/>
      <c r="E205" s="193"/>
      <c r="F205" s="193"/>
      <c r="G205" s="193"/>
      <c r="H205" s="193"/>
      <c r="I205" s="193"/>
      <c r="J205" s="193"/>
      <c r="K205" s="193"/>
    </row>
    <row r="206" spans="1:11" s="29" customFormat="1">
      <c r="A206" s="193"/>
      <c r="B206" s="193"/>
      <c r="C206" s="193"/>
      <c r="D206" s="193"/>
      <c r="E206" s="193"/>
      <c r="F206" s="193"/>
      <c r="G206" s="193"/>
      <c r="H206" s="193"/>
      <c r="I206" s="193"/>
      <c r="J206" s="193"/>
      <c r="K206" s="193"/>
    </row>
    <row r="207" spans="1:11" s="29" customFormat="1">
      <c r="A207" s="193"/>
      <c r="B207" s="193"/>
      <c r="C207" s="193"/>
      <c r="D207" s="193"/>
      <c r="E207" s="193"/>
      <c r="F207" s="193"/>
      <c r="G207" s="193"/>
      <c r="H207" s="193"/>
      <c r="I207" s="193"/>
      <c r="J207" s="193"/>
      <c r="K207" s="193"/>
    </row>
    <row r="208" spans="1:11" s="29" customFormat="1">
      <c r="A208" s="193"/>
      <c r="B208" s="193"/>
      <c r="C208" s="193"/>
      <c r="D208" s="193"/>
      <c r="E208" s="193"/>
      <c r="F208" s="193"/>
      <c r="G208" s="193"/>
      <c r="H208" s="193"/>
      <c r="I208" s="193"/>
      <c r="J208" s="193"/>
      <c r="K208" s="193"/>
    </row>
    <row r="209" spans="1:11" s="29" customFormat="1">
      <c r="A209" s="193"/>
      <c r="B209" s="193"/>
      <c r="C209" s="193"/>
      <c r="D209" s="193"/>
      <c r="E209" s="193"/>
      <c r="F209" s="193"/>
      <c r="G209" s="193"/>
      <c r="H209" s="193"/>
      <c r="I209" s="193"/>
      <c r="J209" s="193"/>
      <c r="K209" s="193"/>
    </row>
    <row r="210" spans="1:11" s="29" customFormat="1">
      <c r="A210" s="193"/>
      <c r="B210" s="193"/>
      <c r="C210" s="193"/>
      <c r="D210" s="193"/>
      <c r="E210" s="193"/>
      <c r="F210" s="193"/>
      <c r="G210" s="193"/>
      <c r="H210" s="193"/>
      <c r="I210" s="193"/>
      <c r="J210" s="193"/>
      <c r="K210" s="193"/>
    </row>
    <row r="211" spans="1:11" s="29" customFormat="1">
      <c r="A211" s="193"/>
      <c r="B211" s="193"/>
      <c r="C211" s="193"/>
      <c r="D211" s="193"/>
      <c r="E211" s="193"/>
      <c r="F211" s="193"/>
      <c r="G211" s="193"/>
      <c r="H211" s="193"/>
      <c r="I211" s="193"/>
      <c r="J211" s="193"/>
      <c r="K211" s="193"/>
    </row>
    <row r="212" spans="1:11" s="29" customFormat="1">
      <c r="A212" s="193"/>
      <c r="B212" s="193"/>
      <c r="C212" s="193"/>
      <c r="D212" s="193"/>
      <c r="E212" s="193"/>
      <c r="F212" s="193"/>
      <c r="G212" s="193"/>
      <c r="H212" s="193"/>
      <c r="I212" s="193"/>
      <c r="J212" s="193"/>
      <c r="K212" s="193"/>
    </row>
    <row r="213" spans="1:11" s="29" customFormat="1">
      <c r="A213" s="193"/>
      <c r="B213" s="193"/>
      <c r="C213" s="193"/>
      <c r="D213" s="193"/>
      <c r="E213" s="193"/>
      <c r="F213" s="193"/>
      <c r="G213" s="193"/>
      <c r="H213" s="193"/>
      <c r="I213" s="193"/>
      <c r="J213" s="193"/>
      <c r="K213" s="193"/>
    </row>
    <row r="214" spans="1:11" s="29" customFormat="1">
      <c r="A214" s="193"/>
      <c r="B214" s="193"/>
      <c r="C214" s="193"/>
      <c r="D214" s="193"/>
      <c r="E214" s="193"/>
      <c r="F214" s="193"/>
      <c r="G214" s="193"/>
      <c r="H214" s="193"/>
      <c r="I214" s="193"/>
      <c r="J214" s="193"/>
      <c r="K214" s="193"/>
    </row>
    <row r="215" spans="1:11" s="29" customFormat="1">
      <c r="A215" s="193"/>
      <c r="B215" s="193"/>
      <c r="C215" s="193"/>
      <c r="D215" s="193"/>
      <c r="E215" s="193"/>
      <c r="F215" s="193"/>
      <c r="G215" s="193"/>
      <c r="H215" s="193"/>
      <c r="I215" s="193"/>
      <c r="J215" s="193"/>
      <c r="K215" s="193"/>
    </row>
    <row r="216" spans="1:11" s="29" customFormat="1">
      <c r="A216" s="193"/>
      <c r="B216" s="193"/>
      <c r="C216" s="193"/>
      <c r="D216" s="193"/>
      <c r="E216" s="193"/>
      <c r="F216" s="193"/>
      <c r="G216" s="193"/>
      <c r="H216" s="193"/>
      <c r="I216" s="193"/>
      <c r="J216" s="193"/>
      <c r="K216" s="193"/>
    </row>
    <row r="217" spans="1:11" s="29" customFormat="1">
      <c r="A217" s="193"/>
      <c r="B217" s="193"/>
      <c r="C217" s="193"/>
      <c r="D217" s="193"/>
      <c r="E217" s="193"/>
      <c r="F217" s="193"/>
      <c r="G217" s="193"/>
      <c r="H217" s="193"/>
      <c r="I217" s="193"/>
      <c r="J217" s="193"/>
      <c r="K217" s="193"/>
    </row>
    <row r="218" spans="1:11" s="29" customFormat="1">
      <c r="A218" s="193"/>
      <c r="B218" s="193"/>
      <c r="C218" s="193"/>
      <c r="D218" s="193"/>
      <c r="E218" s="193"/>
      <c r="F218" s="193"/>
      <c r="G218" s="193"/>
      <c r="H218" s="193"/>
      <c r="I218" s="193"/>
      <c r="J218" s="193"/>
      <c r="K218" s="193"/>
    </row>
    <row r="219" spans="1:11" s="29" customFormat="1">
      <c r="A219" s="193"/>
      <c r="B219" s="193"/>
      <c r="C219" s="193"/>
      <c r="D219" s="193"/>
      <c r="E219" s="193"/>
      <c r="F219" s="193"/>
      <c r="G219" s="193"/>
      <c r="H219" s="193"/>
      <c r="I219" s="193"/>
      <c r="J219" s="193"/>
      <c r="K219" s="193"/>
    </row>
    <row r="220" spans="1:11" s="29" customFormat="1">
      <c r="A220" s="193"/>
      <c r="B220" s="193"/>
      <c r="C220" s="193"/>
      <c r="D220" s="193"/>
      <c r="E220" s="193"/>
      <c r="F220" s="193"/>
      <c r="G220" s="193"/>
      <c r="H220" s="193"/>
      <c r="I220" s="193"/>
      <c r="J220" s="193"/>
      <c r="K220" s="193"/>
    </row>
    <row r="221" spans="1:11" s="29" customFormat="1">
      <c r="A221" s="193"/>
      <c r="B221" s="193"/>
      <c r="C221" s="193"/>
      <c r="D221" s="193"/>
      <c r="E221" s="193"/>
      <c r="F221" s="193"/>
      <c r="G221" s="193"/>
      <c r="H221" s="193"/>
      <c r="I221" s="193"/>
      <c r="J221" s="193"/>
      <c r="K221" s="193"/>
    </row>
    <row r="222" spans="1:11" s="29" customFormat="1">
      <c r="A222" s="193"/>
      <c r="B222" s="193"/>
      <c r="C222" s="193"/>
      <c r="D222" s="193"/>
      <c r="E222" s="193"/>
      <c r="F222" s="193"/>
      <c r="G222" s="193"/>
      <c r="H222" s="193"/>
      <c r="I222" s="193"/>
      <c r="J222" s="193"/>
      <c r="K222" s="193"/>
    </row>
    <row r="223" spans="1:11" s="29" customFormat="1">
      <c r="A223" s="193"/>
      <c r="B223" s="193"/>
      <c r="C223" s="193"/>
      <c r="D223" s="193"/>
      <c r="E223" s="193"/>
      <c r="F223" s="193"/>
      <c r="G223" s="193"/>
      <c r="H223" s="193"/>
      <c r="I223" s="193"/>
      <c r="J223" s="193"/>
      <c r="K223" s="193"/>
    </row>
    <row r="224" spans="1:11" s="29" customFormat="1">
      <c r="A224" s="193"/>
      <c r="B224" s="193"/>
      <c r="C224" s="193"/>
      <c r="D224" s="193"/>
      <c r="E224" s="193"/>
      <c r="F224" s="193"/>
      <c r="G224" s="193"/>
      <c r="H224" s="193"/>
      <c r="I224" s="193"/>
      <c r="J224" s="193"/>
      <c r="K224" s="193"/>
    </row>
    <row r="225" spans="1:11" s="29" customFormat="1">
      <c r="A225" s="193"/>
      <c r="B225" s="193"/>
      <c r="C225" s="193"/>
      <c r="D225" s="193"/>
      <c r="E225" s="193"/>
      <c r="F225" s="193"/>
      <c r="G225" s="193"/>
      <c r="H225" s="193"/>
      <c r="I225" s="193"/>
      <c r="J225" s="193"/>
      <c r="K225" s="193"/>
    </row>
    <row r="226" spans="1:11" s="29" customFormat="1">
      <c r="A226" s="193"/>
      <c r="B226" s="193"/>
      <c r="C226" s="193"/>
      <c r="D226" s="193"/>
      <c r="E226" s="193"/>
      <c r="F226" s="193"/>
      <c r="G226" s="193"/>
      <c r="H226" s="193"/>
      <c r="I226" s="193"/>
      <c r="J226" s="193"/>
      <c r="K226" s="193"/>
    </row>
    <row r="227" spans="1:11" s="29" customFormat="1">
      <c r="A227" s="193"/>
      <c r="B227" s="193"/>
      <c r="C227" s="193"/>
      <c r="D227" s="193"/>
      <c r="E227" s="193"/>
      <c r="F227" s="193"/>
      <c r="G227" s="193"/>
      <c r="H227" s="193"/>
      <c r="I227" s="193"/>
      <c r="J227" s="193"/>
      <c r="K227" s="193"/>
    </row>
    <row r="228" spans="1:11" s="29" customFormat="1">
      <c r="A228" s="193"/>
      <c r="B228" s="193"/>
      <c r="C228" s="193"/>
      <c r="D228" s="193"/>
      <c r="E228" s="193"/>
      <c r="F228" s="193"/>
      <c r="G228" s="193"/>
      <c r="H228" s="193"/>
      <c r="I228" s="193"/>
      <c r="J228" s="193"/>
      <c r="K228" s="193"/>
    </row>
    <row r="229" spans="1:11" s="29" customFormat="1">
      <c r="A229" s="193"/>
      <c r="B229" s="193"/>
      <c r="C229" s="193"/>
      <c r="D229" s="193"/>
      <c r="E229" s="193"/>
      <c r="F229" s="193"/>
      <c r="G229" s="193"/>
      <c r="H229" s="193"/>
      <c r="I229" s="193"/>
      <c r="J229" s="193"/>
      <c r="K229" s="193"/>
    </row>
    <row r="230" spans="1:11" s="29" customFormat="1">
      <c r="A230" s="193"/>
      <c r="B230" s="193"/>
      <c r="C230" s="193"/>
      <c r="D230" s="193"/>
      <c r="E230" s="193"/>
      <c r="F230" s="193"/>
      <c r="G230" s="193"/>
      <c r="H230" s="193"/>
      <c r="I230" s="193"/>
      <c r="J230" s="193"/>
      <c r="K230" s="193"/>
    </row>
    <row r="231" spans="1:11" s="29" customFormat="1">
      <c r="A231" s="193"/>
      <c r="B231" s="193"/>
      <c r="C231" s="193"/>
      <c r="D231" s="193"/>
      <c r="E231" s="193"/>
      <c r="F231" s="193"/>
      <c r="G231" s="193"/>
      <c r="H231" s="193"/>
      <c r="I231" s="193"/>
      <c r="J231" s="193"/>
      <c r="K231" s="193"/>
    </row>
    <row r="232" spans="1:11" s="29" customFormat="1">
      <c r="A232" s="193"/>
      <c r="B232" s="193"/>
      <c r="C232" s="193"/>
      <c r="D232" s="193"/>
      <c r="E232" s="193"/>
      <c r="F232" s="193"/>
      <c r="G232" s="193"/>
      <c r="H232" s="193"/>
      <c r="I232" s="193"/>
      <c r="J232" s="193"/>
      <c r="K232" s="193"/>
    </row>
    <row r="233" spans="1:11" s="29" customFormat="1">
      <c r="A233" s="193"/>
      <c r="B233" s="193"/>
      <c r="C233" s="193"/>
      <c r="D233" s="193"/>
      <c r="E233" s="193"/>
      <c r="F233" s="193"/>
      <c r="G233" s="193"/>
      <c r="H233" s="193"/>
      <c r="I233" s="193"/>
      <c r="J233" s="193"/>
      <c r="K233" s="193"/>
    </row>
    <row r="234" spans="1:11" s="29" customFormat="1">
      <c r="A234" s="193"/>
      <c r="B234" s="193"/>
      <c r="C234" s="193"/>
      <c r="D234" s="193"/>
      <c r="E234" s="193"/>
      <c r="F234" s="193"/>
      <c r="G234" s="193"/>
      <c r="H234" s="193"/>
      <c r="I234" s="193"/>
      <c r="J234" s="193"/>
      <c r="K234" s="193"/>
    </row>
    <row r="235" spans="1:11" s="29" customFormat="1">
      <c r="A235" s="193"/>
      <c r="B235" s="193"/>
      <c r="C235" s="193"/>
      <c r="D235" s="193"/>
      <c r="E235" s="193"/>
      <c r="F235" s="193"/>
      <c r="G235" s="193"/>
      <c r="H235" s="193"/>
      <c r="I235" s="193"/>
      <c r="J235" s="193"/>
      <c r="K235" s="193"/>
    </row>
    <row r="236" spans="1:11" s="29" customFormat="1">
      <c r="A236" s="193"/>
      <c r="B236" s="193"/>
      <c r="C236" s="193"/>
      <c r="D236" s="193"/>
      <c r="E236" s="193"/>
      <c r="F236" s="193"/>
      <c r="G236" s="193"/>
      <c r="H236" s="193"/>
      <c r="I236" s="193"/>
      <c r="J236" s="193"/>
      <c r="K236" s="193"/>
    </row>
    <row r="237" spans="1:11" s="29" customFormat="1">
      <c r="A237" s="193"/>
      <c r="B237" s="193"/>
      <c r="C237" s="193"/>
      <c r="D237" s="193"/>
      <c r="E237" s="193"/>
      <c r="F237" s="193"/>
      <c r="G237" s="193"/>
      <c r="H237" s="193"/>
      <c r="I237" s="193"/>
      <c r="J237" s="193"/>
      <c r="K237" s="193"/>
    </row>
    <row r="238" spans="1:11" s="29" customFormat="1">
      <c r="A238" s="193"/>
      <c r="B238" s="193"/>
      <c r="C238" s="193"/>
      <c r="D238" s="193"/>
      <c r="E238" s="193"/>
      <c r="F238" s="193"/>
      <c r="G238" s="193"/>
      <c r="H238" s="193"/>
      <c r="I238" s="193"/>
      <c r="J238" s="193"/>
      <c r="K238" s="193"/>
    </row>
    <row r="239" spans="1:11" s="29" customFormat="1">
      <c r="A239" s="193"/>
      <c r="B239" s="193"/>
      <c r="C239" s="193"/>
      <c r="D239" s="193"/>
      <c r="E239" s="193"/>
      <c r="F239" s="193"/>
      <c r="G239" s="193"/>
      <c r="H239" s="193"/>
      <c r="I239" s="193"/>
      <c r="J239" s="193"/>
      <c r="K239" s="193"/>
    </row>
    <row r="240" spans="1:11" s="29" customFormat="1">
      <c r="A240" s="193"/>
      <c r="B240" s="193"/>
      <c r="C240" s="193"/>
      <c r="D240" s="193"/>
      <c r="E240" s="193"/>
      <c r="F240" s="193"/>
      <c r="G240" s="193"/>
      <c r="H240" s="193"/>
      <c r="I240" s="193"/>
      <c r="J240" s="193"/>
      <c r="K240" s="193"/>
    </row>
    <row r="241" spans="1:11" s="29" customFormat="1">
      <c r="A241" s="193"/>
      <c r="B241" s="193"/>
      <c r="C241" s="193"/>
      <c r="D241" s="193"/>
      <c r="E241" s="193"/>
      <c r="F241" s="193"/>
      <c r="G241" s="193"/>
      <c r="H241" s="193"/>
      <c r="I241" s="193"/>
      <c r="J241" s="193"/>
      <c r="K241" s="193"/>
    </row>
    <row r="242" spans="1:11" s="29" customFormat="1">
      <c r="A242" s="193"/>
      <c r="B242" s="193"/>
      <c r="C242" s="193"/>
      <c r="D242" s="193"/>
      <c r="E242" s="193"/>
      <c r="F242" s="193"/>
      <c r="G242" s="193"/>
      <c r="H242" s="193"/>
      <c r="I242" s="193"/>
      <c r="J242" s="193"/>
      <c r="K242" s="193"/>
    </row>
    <row r="243" spans="1:11" s="29" customFormat="1">
      <c r="A243" s="193"/>
      <c r="B243" s="193"/>
      <c r="C243" s="193"/>
      <c r="D243" s="193"/>
      <c r="E243" s="193"/>
      <c r="F243" s="193"/>
      <c r="G243" s="193"/>
      <c r="H243" s="193"/>
      <c r="I243" s="193"/>
      <c r="J243" s="193"/>
      <c r="K243" s="193"/>
    </row>
    <row r="244" spans="1:11" s="29" customFormat="1">
      <c r="A244" s="193"/>
      <c r="B244" s="193"/>
      <c r="C244" s="193"/>
      <c r="D244" s="193"/>
      <c r="E244" s="193"/>
      <c r="F244" s="193"/>
      <c r="G244" s="193"/>
      <c r="H244" s="193"/>
      <c r="I244" s="193"/>
      <c r="J244" s="193"/>
      <c r="K244" s="193"/>
    </row>
    <row r="245" spans="1:11" s="29" customFormat="1">
      <c r="A245" s="193"/>
      <c r="B245" s="193"/>
      <c r="C245" s="193"/>
      <c r="D245" s="193"/>
      <c r="E245" s="193"/>
      <c r="F245" s="193"/>
      <c r="G245" s="193"/>
      <c r="H245" s="193"/>
      <c r="I245" s="193"/>
      <c r="J245" s="193"/>
      <c r="K245" s="193"/>
    </row>
    <row r="246" spans="1:11" s="29" customFormat="1">
      <c r="A246" s="193"/>
      <c r="B246" s="193"/>
      <c r="C246" s="193"/>
      <c r="D246" s="193"/>
      <c r="E246" s="193"/>
      <c r="F246" s="193"/>
      <c r="G246" s="193"/>
      <c r="H246" s="193"/>
      <c r="I246" s="193"/>
      <c r="J246" s="193"/>
      <c r="K246" s="193"/>
    </row>
    <row r="247" spans="1:11" s="29" customFormat="1">
      <c r="A247" s="193"/>
      <c r="B247" s="193"/>
      <c r="C247" s="193"/>
      <c r="D247" s="193"/>
      <c r="E247" s="193"/>
      <c r="F247" s="193"/>
      <c r="G247" s="193"/>
      <c r="H247" s="193"/>
      <c r="I247" s="193"/>
      <c r="J247" s="193"/>
      <c r="K247" s="193"/>
    </row>
    <row r="248" spans="1:11" s="29" customFormat="1">
      <c r="A248" s="193"/>
      <c r="B248" s="193"/>
      <c r="C248" s="193"/>
      <c r="D248" s="193"/>
      <c r="E248" s="193"/>
      <c r="F248" s="193"/>
      <c r="G248" s="193"/>
      <c r="H248" s="193"/>
      <c r="I248" s="193"/>
      <c r="J248" s="193"/>
      <c r="K248" s="193"/>
    </row>
    <row r="249" spans="1:11" s="29" customFormat="1">
      <c r="A249" s="193"/>
      <c r="B249" s="193"/>
      <c r="C249" s="193"/>
      <c r="D249" s="193"/>
      <c r="E249" s="193"/>
      <c r="F249" s="193"/>
      <c r="G249" s="193"/>
      <c r="H249" s="193"/>
      <c r="I249" s="193"/>
      <c r="J249" s="193"/>
      <c r="K249" s="193"/>
    </row>
    <row r="250" spans="1:11" s="29" customFormat="1">
      <c r="A250" s="193"/>
      <c r="B250" s="193"/>
      <c r="C250" s="193"/>
      <c r="D250" s="193"/>
      <c r="E250" s="193"/>
      <c r="F250" s="193"/>
      <c r="G250" s="193"/>
      <c r="H250" s="193"/>
      <c r="I250" s="193"/>
      <c r="J250" s="193"/>
      <c r="K250" s="193"/>
    </row>
    <row r="251" spans="1:11" s="29" customFormat="1">
      <c r="A251" s="193"/>
      <c r="B251" s="193"/>
      <c r="C251" s="193"/>
      <c r="D251" s="193"/>
      <c r="E251" s="193"/>
      <c r="F251" s="193"/>
      <c r="G251" s="193"/>
      <c r="H251" s="193"/>
      <c r="I251" s="193"/>
      <c r="J251" s="193"/>
      <c r="K251" s="193"/>
    </row>
    <row r="252" spans="1:11" s="29" customFormat="1">
      <c r="A252" s="193"/>
      <c r="B252" s="193"/>
      <c r="C252" s="193"/>
      <c r="D252" s="193"/>
      <c r="E252" s="193"/>
      <c r="F252" s="193"/>
      <c r="G252" s="193"/>
      <c r="H252" s="193"/>
      <c r="I252" s="193"/>
      <c r="J252" s="193"/>
      <c r="K252" s="193"/>
    </row>
    <row r="253" spans="1:11" s="29" customFormat="1">
      <c r="A253" s="193"/>
      <c r="B253" s="193"/>
      <c r="C253" s="193"/>
      <c r="D253" s="193"/>
      <c r="E253" s="193"/>
      <c r="F253" s="193"/>
      <c r="G253" s="193"/>
      <c r="H253" s="193"/>
      <c r="I253" s="193"/>
      <c r="J253" s="193"/>
      <c r="K253" s="193"/>
    </row>
    <row r="254" spans="1:11" s="29" customFormat="1">
      <c r="A254" s="193"/>
      <c r="B254" s="193"/>
      <c r="C254" s="193"/>
      <c r="D254" s="193"/>
      <c r="E254" s="193"/>
      <c r="F254" s="193"/>
      <c r="G254" s="193"/>
      <c r="H254" s="193"/>
      <c r="I254" s="193"/>
      <c r="J254" s="193"/>
      <c r="K254" s="193"/>
    </row>
    <row r="255" spans="1:11" s="29" customFormat="1">
      <c r="A255" s="193"/>
      <c r="B255" s="193"/>
      <c r="C255" s="193"/>
      <c r="D255" s="193"/>
      <c r="E255" s="193"/>
      <c r="F255" s="193"/>
      <c r="G255" s="193"/>
      <c r="H255" s="193"/>
      <c r="I255" s="193"/>
      <c r="J255" s="193"/>
      <c r="K255" s="193"/>
    </row>
    <row r="256" spans="1:11" s="29" customFormat="1">
      <c r="A256" s="193"/>
      <c r="B256" s="193"/>
      <c r="C256" s="193"/>
      <c r="D256" s="193"/>
      <c r="E256" s="193"/>
      <c r="F256" s="193"/>
      <c r="G256" s="193"/>
      <c r="H256" s="193"/>
      <c r="I256" s="193"/>
      <c r="J256" s="193"/>
      <c r="K256" s="193"/>
    </row>
    <row r="257" spans="1:11" s="29" customFormat="1">
      <c r="A257" s="193"/>
      <c r="B257" s="193"/>
      <c r="C257" s="193"/>
      <c r="D257" s="193"/>
      <c r="E257" s="193"/>
      <c r="F257" s="193"/>
      <c r="G257" s="193"/>
      <c r="H257" s="193"/>
      <c r="I257" s="193"/>
      <c r="J257" s="193"/>
      <c r="K257" s="193"/>
    </row>
    <row r="258" spans="1:11" s="29" customFormat="1">
      <c r="A258" s="193"/>
      <c r="B258" s="193"/>
      <c r="C258" s="193"/>
      <c r="D258" s="193"/>
      <c r="E258" s="193"/>
      <c r="F258" s="193"/>
      <c r="G258" s="193"/>
      <c r="H258" s="193"/>
      <c r="I258" s="193"/>
      <c r="J258" s="193"/>
      <c r="K258" s="193"/>
    </row>
    <row r="259" spans="1:11" s="29" customFormat="1">
      <c r="A259" s="193"/>
      <c r="B259" s="193"/>
      <c r="C259" s="193"/>
      <c r="D259" s="193"/>
      <c r="E259" s="193"/>
      <c r="F259" s="193"/>
      <c r="G259" s="193"/>
      <c r="H259" s="193"/>
      <c r="I259" s="193"/>
      <c r="J259" s="193"/>
      <c r="K259" s="193"/>
    </row>
    <row r="260" spans="1:11" s="29" customFormat="1">
      <c r="A260" s="193"/>
      <c r="B260" s="193"/>
      <c r="C260" s="193"/>
      <c r="D260" s="193"/>
      <c r="E260" s="193"/>
      <c r="F260" s="193"/>
      <c r="G260" s="193"/>
      <c r="H260" s="193"/>
      <c r="I260" s="193"/>
      <c r="J260" s="193"/>
      <c r="K260" s="193"/>
    </row>
    <row r="261" spans="1:11" s="29" customFormat="1">
      <c r="A261" s="193"/>
      <c r="B261" s="193"/>
      <c r="C261" s="193"/>
      <c r="D261" s="193"/>
      <c r="E261" s="193"/>
      <c r="F261" s="193"/>
      <c r="G261" s="193"/>
      <c r="H261" s="193"/>
      <c r="I261" s="193"/>
      <c r="J261" s="193"/>
      <c r="K261" s="193"/>
    </row>
    <row r="262" spans="1:11" s="29" customFormat="1">
      <c r="A262" s="193"/>
      <c r="B262" s="193"/>
      <c r="C262" s="193"/>
      <c r="D262" s="193"/>
      <c r="E262" s="193"/>
      <c r="F262" s="193"/>
      <c r="G262" s="193"/>
      <c r="H262" s="193"/>
      <c r="I262" s="193"/>
      <c r="J262" s="193"/>
      <c r="K262" s="193"/>
    </row>
    <row r="263" spans="1:11" s="29" customFormat="1">
      <c r="A263" s="193"/>
      <c r="B263" s="193"/>
      <c r="C263" s="193"/>
      <c r="D263" s="193"/>
      <c r="E263" s="193"/>
      <c r="F263" s="193"/>
      <c r="G263" s="193"/>
      <c r="H263" s="193"/>
      <c r="I263" s="193"/>
      <c r="J263" s="193"/>
      <c r="K263" s="193"/>
    </row>
    <row r="264" spans="1:11" s="29" customFormat="1">
      <c r="A264" s="193"/>
      <c r="B264" s="193"/>
      <c r="C264" s="193"/>
      <c r="D264" s="193"/>
      <c r="E264" s="193"/>
      <c r="F264" s="193"/>
      <c r="G264" s="193"/>
      <c r="H264" s="193"/>
      <c r="I264" s="193"/>
      <c r="J264" s="193"/>
      <c r="K264" s="193"/>
    </row>
    <row r="265" spans="1:11" s="29" customFormat="1">
      <c r="A265" s="193"/>
      <c r="B265" s="193"/>
      <c r="C265" s="193"/>
      <c r="D265" s="193"/>
      <c r="E265" s="193"/>
      <c r="F265" s="193"/>
      <c r="G265" s="193"/>
      <c r="H265" s="193"/>
      <c r="I265" s="193"/>
      <c r="J265" s="193"/>
      <c r="K265" s="193"/>
    </row>
    <row r="266" spans="1:11" s="29" customFormat="1">
      <c r="A266" s="193"/>
      <c r="B266" s="193"/>
      <c r="C266" s="193"/>
      <c r="D266" s="193"/>
      <c r="E266" s="193"/>
      <c r="F266" s="193"/>
      <c r="G266" s="193"/>
      <c r="H266" s="193"/>
      <c r="I266" s="193"/>
      <c r="J266" s="193"/>
      <c r="K266" s="193"/>
    </row>
    <row r="267" spans="1:11" s="29" customFormat="1">
      <c r="A267" s="193"/>
      <c r="B267" s="193"/>
      <c r="C267" s="193"/>
      <c r="D267" s="193"/>
      <c r="E267" s="193"/>
      <c r="F267" s="193"/>
      <c r="G267" s="193"/>
      <c r="H267" s="193"/>
      <c r="I267" s="193"/>
      <c r="J267" s="193"/>
      <c r="K267" s="193"/>
    </row>
    <row r="268" spans="1:11" s="29" customFormat="1">
      <c r="A268" s="193"/>
      <c r="B268" s="193"/>
      <c r="C268" s="193"/>
      <c r="D268" s="193"/>
      <c r="E268" s="193"/>
      <c r="F268" s="193"/>
      <c r="G268" s="193"/>
      <c r="H268" s="193"/>
      <c r="I268" s="193"/>
      <c r="J268" s="193"/>
      <c r="K268" s="193"/>
    </row>
    <row r="269" spans="1:11" s="29" customFormat="1">
      <c r="A269" s="193"/>
      <c r="B269" s="193"/>
      <c r="C269" s="193"/>
      <c r="D269" s="193"/>
      <c r="E269" s="193"/>
      <c r="F269" s="193"/>
      <c r="G269" s="193"/>
      <c r="H269" s="193"/>
      <c r="I269" s="193"/>
      <c r="J269" s="193"/>
      <c r="K269" s="193"/>
    </row>
    <row r="270" spans="1:11" s="29" customFormat="1">
      <c r="A270" s="193"/>
      <c r="B270" s="193"/>
      <c r="C270" s="193"/>
      <c r="D270" s="193"/>
      <c r="E270" s="193"/>
      <c r="F270" s="193"/>
      <c r="G270" s="193"/>
      <c r="H270" s="193"/>
      <c r="I270" s="193"/>
      <c r="J270" s="193"/>
      <c r="K270" s="193"/>
    </row>
    <row r="271" spans="1:11" s="29" customFormat="1">
      <c r="A271" s="193"/>
      <c r="B271" s="193"/>
      <c r="C271" s="193"/>
      <c r="D271" s="193"/>
      <c r="E271" s="193"/>
      <c r="F271" s="193"/>
      <c r="G271" s="193"/>
      <c r="H271" s="193"/>
      <c r="I271" s="193"/>
      <c r="J271" s="193"/>
      <c r="K271" s="193"/>
    </row>
    <row r="272" spans="1:11" s="29" customFormat="1">
      <c r="A272" s="193"/>
      <c r="B272" s="193"/>
      <c r="C272" s="193"/>
      <c r="D272" s="193"/>
      <c r="E272" s="193"/>
      <c r="F272" s="193"/>
      <c r="G272" s="193"/>
      <c r="H272" s="193"/>
      <c r="I272" s="193"/>
      <c r="J272" s="193"/>
      <c r="K272" s="193"/>
    </row>
    <row r="273" spans="1:11" s="29" customFormat="1">
      <c r="A273" s="193"/>
      <c r="B273" s="193"/>
      <c r="C273" s="193"/>
      <c r="D273" s="193"/>
      <c r="E273" s="193"/>
      <c r="F273" s="193"/>
      <c r="G273" s="193"/>
      <c r="H273" s="193"/>
      <c r="I273" s="193"/>
      <c r="J273" s="193"/>
      <c r="K273" s="193"/>
    </row>
    <row r="274" spans="1:11" s="29" customFormat="1">
      <c r="A274" s="193"/>
      <c r="B274" s="193"/>
      <c r="C274" s="193"/>
      <c r="D274" s="193"/>
      <c r="E274" s="193"/>
      <c r="F274" s="193"/>
      <c r="G274" s="193"/>
      <c r="H274" s="193"/>
      <c r="I274" s="193"/>
      <c r="J274" s="193"/>
      <c r="K274" s="193"/>
    </row>
    <row r="275" spans="1:11" s="29" customFormat="1">
      <c r="A275" s="193"/>
      <c r="B275" s="193"/>
      <c r="C275" s="193"/>
      <c r="D275" s="193"/>
      <c r="E275" s="193"/>
      <c r="F275" s="193"/>
      <c r="G275" s="193"/>
      <c r="H275" s="193"/>
      <c r="I275" s="193"/>
      <c r="J275" s="193"/>
      <c r="K275" s="193"/>
    </row>
    <row r="276" spans="1:11" s="29" customFormat="1">
      <c r="A276" s="193"/>
      <c r="B276" s="193"/>
      <c r="C276" s="193"/>
      <c r="D276" s="193"/>
      <c r="E276" s="193"/>
      <c r="F276" s="193"/>
      <c r="G276" s="193"/>
      <c r="H276" s="193"/>
      <c r="I276" s="193"/>
      <c r="J276" s="193"/>
      <c r="K276" s="193"/>
    </row>
    <row r="277" spans="1:11" s="29" customFormat="1">
      <c r="A277" s="193"/>
      <c r="B277" s="193"/>
      <c r="C277" s="193"/>
      <c r="D277" s="193"/>
      <c r="E277" s="193"/>
      <c r="F277" s="193"/>
      <c r="G277" s="193"/>
      <c r="H277" s="193"/>
      <c r="I277" s="193"/>
      <c r="J277" s="193"/>
      <c r="K277" s="193"/>
    </row>
    <row r="278" spans="1:11" s="29" customFormat="1">
      <c r="A278" s="193"/>
      <c r="B278" s="193"/>
      <c r="C278" s="193"/>
      <c r="D278" s="193"/>
      <c r="E278" s="193"/>
      <c r="F278" s="193"/>
      <c r="G278" s="193"/>
      <c r="H278" s="193"/>
      <c r="I278" s="193"/>
      <c r="J278" s="193"/>
      <c r="K278" s="193"/>
    </row>
    <row r="279" spans="1:11" s="29" customFormat="1">
      <c r="A279" s="193"/>
      <c r="B279" s="193"/>
      <c r="C279" s="193"/>
      <c r="D279" s="193"/>
      <c r="E279" s="193"/>
      <c r="F279" s="193"/>
      <c r="G279" s="193"/>
      <c r="H279" s="193"/>
      <c r="I279" s="193"/>
      <c r="J279" s="193"/>
      <c r="K279" s="193"/>
    </row>
    <row r="280" spans="1:11" s="29" customFormat="1">
      <c r="A280" s="193"/>
      <c r="B280" s="193"/>
      <c r="C280" s="193"/>
      <c r="D280" s="193"/>
      <c r="E280" s="193"/>
      <c r="F280" s="193"/>
      <c r="G280" s="193"/>
      <c r="H280" s="193"/>
      <c r="I280" s="193"/>
      <c r="J280" s="193"/>
      <c r="K280" s="193"/>
    </row>
    <row r="281" spans="1:11" s="29" customFormat="1">
      <c r="A281" s="193"/>
      <c r="B281" s="193"/>
      <c r="C281" s="193"/>
      <c r="D281" s="193"/>
      <c r="E281" s="193"/>
      <c r="F281" s="193"/>
      <c r="G281" s="193"/>
      <c r="H281" s="193"/>
      <c r="I281" s="193"/>
      <c r="J281" s="193"/>
      <c r="K281" s="193"/>
    </row>
    <row r="282" spans="1:11" s="29" customFormat="1">
      <c r="A282" s="193"/>
      <c r="B282" s="193"/>
      <c r="C282" s="193"/>
      <c r="D282" s="193"/>
      <c r="E282" s="193"/>
      <c r="F282" s="193"/>
      <c r="G282" s="193"/>
      <c r="H282" s="193"/>
      <c r="I282" s="193"/>
      <c r="J282" s="193"/>
      <c r="K282" s="193"/>
    </row>
    <row r="283" spans="1:11" s="29" customFormat="1">
      <c r="A283" s="193"/>
      <c r="B283" s="193"/>
      <c r="C283" s="193"/>
      <c r="D283" s="193"/>
      <c r="E283" s="193"/>
      <c r="F283" s="193"/>
      <c r="G283" s="193"/>
      <c r="H283" s="193"/>
      <c r="I283" s="193"/>
      <c r="J283" s="193"/>
      <c r="K283" s="193"/>
    </row>
    <row r="284" spans="1:11" s="29" customFormat="1">
      <c r="A284" s="193"/>
      <c r="B284" s="193"/>
      <c r="C284" s="193"/>
      <c r="D284" s="193"/>
      <c r="E284" s="193"/>
      <c r="F284" s="193"/>
      <c r="G284" s="193"/>
      <c r="H284" s="193"/>
      <c r="I284" s="193"/>
      <c r="J284" s="193"/>
      <c r="K284" s="193"/>
    </row>
    <row r="285" spans="1:11" s="29" customFormat="1">
      <c r="A285" s="193"/>
      <c r="B285" s="193"/>
      <c r="C285" s="193"/>
      <c r="D285" s="193"/>
      <c r="E285" s="193"/>
      <c r="F285" s="193"/>
      <c r="G285" s="193"/>
      <c r="H285" s="193"/>
      <c r="I285" s="193"/>
      <c r="J285" s="193"/>
      <c r="K285" s="193"/>
    </row>
    <row r="286" spans="1:11" s="29" customFormat="1">
      <c r="A286" s="193"/>
      <c r="B286" s="193"/>
      <c r="C286" s="193"/>
      <c r="D286" s="193"/>
      <c r="E286" s="193"/>
      <c r="F286" s="193"/>
      <c r="G286" s="193"/>
      <c r="H286" s="193"/>
      <c r="I286" s="193"/>
      <c r="J286" s="193"/>
      <c r="K286" s="193"/>
    </row>
    <row r="287" spans="1:11" s="29" customFormat="1">
      <c r="A287" s="193"/>
      <c r="B287" s="193"/>
      <c r="C287" s="193"/>
      <c r="D287" s="193"/>
      <c r="E287" s="193"/>
      <c r="F287" s="193"/>
      <c r="G287" s="193"/>
      <c r="H287" s="193"/>
      <c r="I287" s="193"/>
      <c r="J287" s="193"/>
      <c r="K287" s="193"/>
    </row>
    <row r="288" spans="1:11" s="29" customFormat="1">
      <c r="A288" s="193"/>
      <c r="B288" s="193"/>
      <c r="C288" s="193"/>
      <c r="D288" s="193"/>
      <c r="E288" s="193"/>
      <c r="F288" s="193"/>
      <c r="G288" s="193"/>
      <c r="H288" s="193"/>
      <c r="I288" s="193"/>
      <c r="J288" s="193"/>
      <c r="K288" s="193"/>
    </row>
    <row r="289" spans="1:11" s="29" customFormat="1">
      <c r="A289" s="193"/>
      <c r="B289" s="193"/>
      <c r="C289" s="193"/>
      <c r="D289" s="193"/>
      <c r="E289" s="193"/>
      <c r="F289" s="193"/>
      <c r="G289" s="193"/>
      <c r="H289" s="193"/>
      <c r="I289" s="193"/>
      <c r="J289" s="193"/>
      <c r="K289" s="193"/>
    </row>
    <row r="290" spans="1:11" s="29" customFormat="1">
      <c r="A290" s="193"/>
      <c r="B290" s="193"/>
      <c r="C290" s="193"/>
      <c r="D290" s="193"/>
      <c r="E290" s="193"/>
      <c r="F290" s="193"/>
      <c r="G290" s="193"/>
      <c r="H290" s="193"/>
      <c r="I290" s="193"/>
      <c r="J290" s="193"/>
      <c r="K290" s="193"/>
    </row>
    <row r="291" spans="1:11" s="29" customFormat="1">
      <c r="A291" s="193"/>
      <c r="B291" s="193"/>
      <c r="C291" s="193"/>
      <c r="D291" s="193"/>
      <c r="E291" s="193"/>
      <c r="F291" s="193"/>
      <c r="G291" s="193"/>
      <c r="H291" s="193"/>
      <c r="I291" s="193"/>
      <c r="J291" s="193"/>
      <c r="K291" s="193"/>
    </row>
    <row r="292" spans="1:11" s="29" customFormat="1">
      <c r="A292" s="193"/>
      <c r="B292" s="193"/>
      <c r="C292" s="193"/>
      <c r="D292" s="193"/>
      <c r="E292" s="193"/>
      <c r="F292" s="193"/>
      <c r="G292" s="193"/>
      <c r="H292" s="193"/>
      <c r="I292" s="193"/>
      <c r="J292" s="193"/>
      <c r="K292" s="193"/>
    </row>
    <row r="293" spans="1:11" s="29" customFormat="1">
      <c r="A293" s="193"/>
      <c r="B293" s="193"/>
      <c r="C293" s="193"/>
      <c r="D293" s="193"/>
      <c r="E293" s="193"/>
      <c r="F293" s="193"/>
      <c r="G293" s="193"/>
      <c r="H293" s="193"/>
      <c r="I293" s="193"/>
      <c r="J293" s="193"/>
      <c r="K293" s="193"/>
    </row>
    <row r="294" spans="1:11" s="29" customFormat="1">
      <c r="A294" s="193"/>
      <c r="B294" s="193"/>
      <c r="C294" s="193"/>
      <c r="D294" s="193"/>
      <c r="E294" s="193"/>
      <c r="F294" s="193"/>
      <c r="G294" s="193"/>
      <c r="H294" s="193"/>
      <c r="I294" s="193"/>
      <c r="J294" s="193"/>
      <c r="K294" s="193"/>
    </row>
    <row r="295" spans="1:11" s="29" customFormat="1">
      <c r="A295" s="193"/>
      <c r="B295" s="193"/>
      <c r="C295" s="193"/>
      <c r="D295" s="193"/>
      <c r="E295" s="193"/>
      <c r="F295" s="193"/>
      <c r="G295" s="193"/>
      <c r="H295" s="193"/>
      <c r="I295" s="193"/>
      <c r="J295" s="193"/>
      <c r="K295" s="193"/>
    </row>
    <row r="296" spans="1:11" s="29" customFormat="1">
      <c r="A296" s="193"/>
      <c r="B296" s="193"/>
      <c r="C296" s="193"/>
      <c r="D296" s="193"/>
      <c r="E296" s="193"/>
      <c r="F296" s="193"/>
      <c r="G296" s="193"/>
      <c r="H296" s="193"/>
      <c r="I296" s="193"/>
      <c r="J296" s="193"/>
      <c r="K296" s="193"/>
    </row>
    <row r="297" spans="1:11" s="29" customFormat="1">
      <c r="A297" s="193"/>
      <c r="B297" s="193"/>
      <c r="C297" s="193"/>
      <c r="D297" s="193"/>
      <c r="E297" s="193"/>
      <c r="F297" s="193"/>
      <c r="G297" s="193"/>
      <c r="H297" s="193"/>
      <c r="I297" s="193"/>
      <c r="J297" s="193"/>
      <c r="K297" s="193"/>
    </row>
    <row r="298" spans="1:11" s="29" customFormat="1">
      <c r="A298" s="193"/>
      <c r="B298" s="193"/>
      <c r="C298" s="193"/>
      <c r="D298" s="193"/>
      <c r="E298" s="193"/>
      <c r="F298" s="193"/>
      <c r="G298" s="193"/>
      <c r="H298" s="193"/>
      <c r="I298" s="193"/>
      <c r="J298" s="193"/>
      <c r="K298" s="193"/>
    </row>
    <row r="299" spans="1:11" s="29" customFormat="1">
      <c r="A299" s="193"/>
      <c r="B299" s="193"/>
      <c r="C299" s="193"/>
      <c r="D299" s="193"/>
      <c r="E299" s="193"/>
      <c r="F299" s="193"/>
      <c r="G299" s="193"/>
      <c r="H299" s="193"/>
      <c r="I299" s="193"/>
      <c r="J299" s="193"/>
      <c r="K299" s="193"/>
    </row>
    <row r="300" spans="1:11" s="29" customFormat="1">
      <c r="A300" s="193"/>
      <c r="B300" s="193"/>
      <c r="C300" s="193"/>
      <c r="D300" s="193"/>
      <c r="E300" s="193"/>
      <c r="F300" s="193"/>
      <c r="G300" s="193"/>
      <c r="H300" s="193"/>
      <c r="I300" s="193"/>
      <c r="J300" s="193"/>
      <c r="K300" s="193"/>
    </row>
    <row r="301" spans="1:11" s="29" customFormat="1">
      <c r="A301" s="193"/>
      <c r="B301" s="193"/>
      <c r="C301" s="193"/>
      <c r="D301" s="193"/>
      <c r="E301" s="193"/>
      <c r="F301" s="193"/>
      <c r="G301" s="193"/>
      <c r="H301" s="193"/>
      <c r="I301" s="193"/>
      <c r="J301" s="193"/>
      <c r="K301" s="193"/>
    </row>
    <row r="302" spans="1:11" s="29" customFormat="1">
      <c r="A302" s="193"/>
      <c r="B302" s="193"/>
      <c r="C302" s="193"/>
      <c r="D302" s="193"/>
      <c r="E302" s="193"/>
      <c r="F302" s="193"/>
      <c r="G302" s="193"/>
      <c r="H302" s="193"/>
      <c r="I302" s="193"/>
      <c r="J302" s="193"/>
      <c r="K302" s="193"/>
    </row>
    <row r="303" spans="1:11" s="29" customFormat="1">
      <c r="A303" s="193"/>
      <c r="B303" s="193"/>
      <c r="C303" s="193"/>
      <c r="D303" s="193"/>
      <c r="E303" s="193"/>
      <c r="F303" s="193"/>
      <c r="G303" s="193"/>
      <c r="H303" s="193"/>
      <c r="I303" s="193"/>
      <c r="J303" s="193"/>
      <c r="K303" s="193"/>
    </row>
    <row r="304" spans="1:11" s="29" customFormat="1">
      <c r="A304" s="193"/>
      <c r="B304" s="193"/>
      <c r="C304" s="193"/>
      <c r="D304" s="193"/>
      <c r="E304" s="193"/>
      <c r="F304" s="193"/>
      <c r="G304" s="193"/>
      <c r="H304" s="193"/>
      <c r="I304" s="193"/>
      <c r="J304" s="193"/>
      <c r="K304" s="193"/>
    </row>
    <row r="305" spans="1:11" s="29" customFormat="1">
      <c r="A305" s="193"/>
      <c r="B305" s="193"/>
      <c r="C305" s="193"/>
      <c r="D305" s="193"/>
      <c r="E305" s="193"/>
      <c r="F305" s="193"/>
      <c r="G305" s="193"/>
      <c r="H305" s="193"/>
      <c r="I305" s="193"/>
      <c r="J305" s="193"/>
      <c r="K305" s="193"/>
    </row>
    <row r="306" spans="1:11" s="29" customFormat="1">
      <c r="A306" s="193"/>
      <c r="B306" s="193"/>
      <c r="C306" s="193"/>
      <c r="D306" s="193"/>
      <c r="E306" s="193"/>
      <c r="F306" s="193"/>
      <c r="G306" s="193"/>
      <c r="H306" s="193"/>
      <c r="I306" s="193"/>
      <c r="J306" s="193"/>
      <c r="K306" s="193"/>
    </row>
    <row r="307" spans="1:11" s="29" customFormat="1">
      <c r="A307" s="193"/>
      <c r="B307" s="193"/>
      <c r="C307" s="193"/>
      <c r="D307" s="193"/>
      <c r="E307" s="193"/>
      <c r="F307" s="193"/>
      <c r="G307" s="193"/>
      <c r="H307" s="193"/>
      <c r="I307" s="193"/>
      <c r="J307" s="193"/>
      <c r="K307" s="193"/>
    </row>
    <row r="308" spans="1:11" s="29" customFormat="1">
      <c r="A308" s="193"/>
      <c r="B308" s="193"/>
      <c r="C308" s="193"/>
      <c r="D308" s="193"/>
      <c r="E308" s="193"/>
      <c r="F308" s="193"/>
      <c r="G308" s="193"/>
      <c r="H308" s="193"/>
      <c r="I308" s="193"/>
      <c r="J308" s="193"/>
      <c r="K308" s="193"/>
    </row>
    <row r="309" spans="1:11" s="29" customFormat="1">
      <c r="A309" s="193"/>
      <c r="B309" s="193"/>
      <c r="C309" s="193"/>
      <c r="D309" s="193"/>
      <c r="E309" s="193"/>
      <c r="F309" s="193"/>
      <c r="G309" s="193"/>
      <c r="H309" s="193"/>
      <c r="I309" s="193"/>
      <c r="J309" s="193"/>
      <c r="K309" s="193"/>
    </row>
  </sheetData>
  <hyperlinks>
    <hyperlink ref="A26" r:id="rId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
  <sheetViews>
    <sheetView zoomScale="150" zoomScaleNormal="150" zoomScalePageLayoutView="150" workbookViewId="0">
      <selection activeCell="A11" sqref="A11"/>
    </sheetView>
  </sheetViews>
  <sheetFormatPr baseColWidth="10" defaultColWidth="10.83203125" defaultRowHeight="15" x14ac:dyDescent="0"/>
  <cols>
    <col min="1" max="1" width="123.5" style="195" customWidth="1"/>
    <col min="2" max="16384" width="10.83203125" style="192"/>
  </cols>
  <sheetData>
    <row r="2" spans="1:1" ht="17">
      <c r="A2" s="196" t="s">
        <v>125</v>
      </c>
    </row>
    <row r="4" spans="1:1" ht="64.5" customHeight="1">
      <c r="A4" s="195" t="s">
        <v>188</v>
      </c>
    </row>
    <row r="5" spans="1:1" ht="54" customHeight="1">
      <c r="A5" s="195" t="s">
        <v>186</v>
      </c>
    </row>
    <row r="6" spans="1:1" ht="9" customHeight="1">
      <c r="A6" s="195" t="s">
        <v>128</v>
      </c>
    </row>
    <row r="7" spans="1:1" ht="46" customHeight="1">
      <c r="A7" s="198" t="s">
        <v>190</v>
      </c>
    </row>
    <row r="8" spans="1:1" ht="30" customHeight="1">
      <c r="A8" s="199" t="s">
        <v>189</v>
      </c>
    </row>
    <row r="9" spans="1:1" ht="55" customHeight="1">
      <c r="A9" s="200" t="s">
        <v>192</v>
      </c>
    </row>
    <row r="10" spans="1:1" ht="58" customHeight="1">
      <c r="A10" s="201" t="s">
        <v>191</v>
      </c>
    </row>
    <row r="11" spans="1:1" ht="73" customHeight="1">
      <c r="A11" s="202" t="s">
        <v>193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58"/>
  <sheetViews>
    <sheetView topLeftCell="B12" zoomScale="150" zoomScaleNormal="150" zoomScalePageLayoutView="150" workbookViewId="0">
      <selection activeCell="E12" sqref="E12"/>
    </sheetView>
  </sheetViews>
  <sheetFormatPr baseColWidth="10" defaultColWidth="10.83203125" defaultRowHeight="12" x14ac:dyDescent="0"/>
  <cols>
    <col min="1" max="1" width="7" style="29" customWidth="1"/>
    <col min="2" max="2" width="17.1640625" style="77" customWidth="1"/>
    <col min="3" max="3" width="18.6640625" style="77" customWidth="1"/>
    <col min="4" max="4" width="11" style="77" customWidth="1"/>
    <col min="5" max="5" width="11.83203125" style="77" customWidth="1"/>
    <col min="6" max="6" width="14.83203125" style="77" customWidth="1"/>
    <col min="7" max="7" width="14" style="77" customWidth="1"/>
    <col min="8" max="8" width="33" style="21" customWidth="1"/>
    <col min="9" max="9" width="30.33203125" style="77" customWidth="1"/>
    <col min="10" max="10" width="37.1640625" style="1" customWidth="1"/>
    <col min="11" max="11" width="30.1640625" style="77" customWidth="1"/>
    <col min="12" max="12" width="31.5" style="77" customWidth="1"/>
    <col min="13" max="13" width="11.1640625" style="29" bestFit="1" customWidth="1"/>
    <col min="14" max="37" width="10.83203125" style="29"/>
    <col min="38" max="16384" width="10.83203125" style="77"/>
  </cols>
  <sheetData>
    <row r="1" spans="1:37">
      <c r="B1" s="29"/>
      <c r="C1" s="29"/>
      <c r="D1" s="29"/>
      <c r="E1" s="29"/>
      <c r="F1" s="29"/>
      <c r="G1" s="29"/>
      <c r="H1" s="27"/>
      <c r="I1" s="29"/>
      <c r="J1" s="27"/>
      <c r="K1" s="29"/>
      <c r="L1" s="29"/>
    </row>
    <row r="2" spans="1:37" ht="23" customHeight="1">
      <c r="B2" s="86" t="s">
        <v>78</v>
      </c>
      <c r="C2" s="29"/>
      <c r="D2" s="29"/>
      <c r="E2" s="29"/>
      <c r="F2" s="29"/>
      <c r="G2" s="29"/>
      <c r="H2" s="27"/>
      <c r="I2" s="29"/>
      <c r="J2" s="87"/>
      <c r="K2" s="29"/>
      <c r="L2" s="29"/>
    </row>
    <row r="3" spans="1:37" s="21" customFormat="1">
      <c r="A3" s="27"/>
      <c r="B3" s="27" t="s">
        <v>55</v>
      </c>
      <c r="C3" s="27"/>
      <c r="D3" s="27"/>
      <c r="E3" s="27"/>
      <c r="F3" s="27"/>
      <c r="G3" s="27"/>
      <c r="H3" s="27"/>
      <c r="I3" s="27"/>
      <c r="J3" s="8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row>
    <row r="4" spans="1:37" s="21" customFormat="1" ht="13" thickBot="1">
      <c r="A4" s="27"/>
      <c r="B4" s="87" t="s">
        <v>140</v>
      </c>
      <c r="C4" s="27"/>
      <c r="D4" s="27"/>
      <c r="E4" s="27"/>
      <c r="F4" s="27"/>
      <c r="G4" s="27"/>
      <c r="H4" s="27"/>
      <c r="I4" s="27"/>
      <c r="J4" s="88"/>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row>
    <row r="5" spans="1:37" ht="52" customHeight="1" thickBot="1">
      <c r="B5" s="89" t="s">
        <v>52</v>
      </c>
      <c r="C5" s="90" t="s">
        <v>135</v>
      </c>
      <c r="D5" s="90" t="s">
        <v>155</v>
      </c>
      <c r="E5" s="91" t="s">
        <v>79</v>
      </c>
      <c r="F5" s="91" t="s">
        <v>80</v>
      </c>
      <c r="G5" s="91" t="s">
        <v>81</v>
      </c>
      <c r="H5" s="92" t="s">
        <v>82</v>
      </c>
      <c r="I5" s="92" t="s">
        <v>47</v>
      </c>
      <c r="J5" s="91" t="s">
        <v>59</v>
      </c>
      <c r="K5" s="91" t="s">
        <v>83</v>
      </c>
      <c r="L5" s="93" t="s">
        <v>84</v>
      </c>
    </row>
    <row r="6" spans="1:37" ht="130" customHeight="1">
      <c r="B6" s="265" t="s">
        <v>85</v>
      </c>
      <c r="C6" s="94" t="s">
        <v>86</v>
      </c>
      <c r="D6" s="95">
        <v>176.15869000000001</v>
      </c>
      <c r="E6" s="96">
        <f>(F6*0.8)/(D6*1000)</f>
        <v>104.15951780749523</v>
      </c>
      <c r="F6" s="96">
        <v>22935755.260000043</v>
      </c>
      <c r="G6" s="96">
        <f>F6*0.5</f>
        <v>11467877.630000021</v>
      </c>
      <c r="H6" s="97" t="s">
        <v>112</v>
      </c>
      <c r="I6" s="98" t="s">
        <v>108</v>
      </c>
      <c r="J6" s="98" t="s">
        <v>110</v>
      </c>
      <c r="K6" s="98" t="s">
        <v>109</v>
      </c>
      <c r="L6" s="99" t="s">
        <v>87</v>
      </c>
    </row>
    <row r="7" spans="1:37" ht="136" customHeight="1">
      <c r="B7" s="265"/>
      <c r="C7" s="100" t="s">
        <v>149</v>
      </c>
      <c r="D7" s="101">
        <v>150</v>
      </c>
      <c r="E7" s="102">
        <f>(F7*0.8)/(D7*1000)</f>
        <v>143.24535938605467</v>
      </c>
      <c r="F7" s="102">
        <v>26858504.884885252</v>
      </c>
      <c r="G7" s="102">
        <f>F7/2</f>
        <v>13429252.442442626</v>
      </c>
      <c r="H7" s="213" t="s">
        <v>112</v>
      </c>
      <c r="I7" s="103" t="s">
        <v>108</v>
      </c>
      <c r="J7" s="103" t="s">
        <v>110</v>
      </c>
      <c r="K7" s="103" t="s">
        <v>141</v>
      </c>
      <c r="L7" s="104" t="s">
        <v>87</v>
      </c>
    </row>
    <row r="8" spans="1:37" ht="78" customHeight="1" thickBot="1">
      <c r="B8" s="265"/>
      <c r="C8" s="105" t="s">
        <v>88</v>
      </c>
      <c r="D8" s="218">
        <v>988</v>
      </c>
      <c r="E8" s="217">
        <v>473</v>
      </c>
      <c r="F8" s="106">
        <v>457063836.08225489</v>
      </c>
      <c r="G8" s="106">
        <f>F8/2</f>
        <v>228531918.04112744</v>
      </c>
      <c r="H8" s="214" t="s">
        <v>112</v>
      </c>
      <c r="I8" s="186" t="s">
        <v>108</v>
      </c>
      <c r="J8" s="186" t="s">
        <v>110</v>
      </c>
      <c r="K8" s="205" t="s">
        <v>145</v>
      </c>
      <c r="L8" s="107" t="s">
        <v>87</v>
      </c>
    </row>
    <row r="9" spans="1:37" ht="119" customHeight="1">
      <c r="B9" s="266" t="s">
        <v>37</v>
      </c>
      <c r="C9" s="108" t="s">
        <v>89</v>
      </c>
      <c r="D9" s="109" t="s">
        <v>39</v>
      </c>
      <c r="E9" s="109" t="s">
        <v>39</v>
      </c>
      <c r="F9" s="109" t="s">
        <v>39</v>
      </c>
      <c r="G9" s="110">
        <v>36046446.300000004</v>
      </c>
      <c r="H9" s="111" t="s">
        <v>113</v>
      </c>
      <c r="I9" s="112" t="s">
        <v>111</v>
      </c>
      <c r="J9" s="112" t="s">
        <v>147</v>
      </c>
      <c r="K9" s="113" t="s">
        <v>39</v>
      </c>
      <c r="L9" s="114" t="s">
        <v>90</v>
      </c>
    </row>
    <row r="10" spans="1:37" ht="96">
      <c r="B10" s="267"/>
      <c r="C10" s="115" t="s">
        <v>43</v>
      </c>
      <c r="D10" s="116" t="s">
        <v>39</v>
      </c>
      <c r="E10" s="117" t="s">
        <v>39</v>
      </c>
      <c r="F10" s="117" t="s">
        <v>39</v>
      </c>
      <c r="G10" s="118">
        <v>118147068.09999999</v>
      </c>
      <c r="H10" s="111" t="s">
        <v>113</v>
      </c>
      <c r="I10" s="119" t="s">
        <v>114</v>
      </c>
      <c r="J10" s="119" t="s">
        <v>115</v>
      </c>
      <c r="K10" s="120" t="s">
        <v>39</v>
      </c>
      <c r="L10" s="121" t="s">
        <v>90</v>
      </c>
    </row>
    <row r="11" spans="1:37" ht="97" thickBot="1">
      <c r="B11" s="268"/>
      <c r="C11" s="108" t="s">
        <v>38</v>
      </c>
      <c r="D11" s="109" t="s">
        <v>39</v>
      </c>
      <c r="E11" s="122" t="s">
        <v>39</v>
      </c>
      <c r="F11" s="122" t="s">
        <v>39</v>
      </c>
      <c r="G11" s="110">
        <v>103320771.63665964</v>
      </c>
      <c r="H11" s="111" t="s">
        <v>113</v>
      </c>
      <c r="I11" s="112" t="s">
        <v>148</v>
      </c>
      <c r="J11" s="112" t="s">
        <v>91</v>
      </c>
      <c r="K11" s="113" t="s">
        <v>39</v>
      </c>
      <c r="L11" s="114" t="s">
        <v>90</v>
      </c>
    </row>
    <row r="12" spans="1:37" ht="181" thickBot="1">
      <c r="B12" s="123" t="s">
        <v>92</v>
      </c>
      <c r="C12" s="222" t="s">
        <v>93</v>
      </c>
      <c r="D12" s="223" t="s">
        <v>183</v>
      </c>
      <c r="E12" s="234" t="s">
        <v>185</v>
      </c>
      <c r="F12" s="227">
        <f>((90000000+10000000)/0.95)/0.78</f>
        <v>134952766.5317139</v>
      </c>
      <c r="G12" s="224">
        <v>90000000</v>
      </c>
      <c r="H12" s="128" t="s">
        <v>45</v>
      </c>
      <c r="I12" s="128" t="s">
        <v>187</v>
      </c>
      <c r="J12" s="225" t="s">
        <v>154</v>
      </c>
      <c r="K12" s="225" t="s">
        <v>152</v>
      </c>
      <c r="L12" s="226" t="s">
        <v>277</v>
      </c>
    </row>
    <row r="13" spans="1:37" ht="269" customHeight="1" thickBot="1">
      <c r="B13" s="123" t="s">
        <v>92</v>
      </c>
      <c r="C13" s="124" t="s">
        <v>151</v>
      </c>
      <c r="D13" s="125" t="s">
        <v>183</v>
      </c>
      <c r="E13" s="228" t="s">
        <v>184</v>
      </c>
      <c r="F13" s="126">
        <f>((100000000)/0.95)/0.6375</f>
        <v>165118679.0505676</v>
      </c>
      <c r="G13" s="127">
        <v>90000000</v>
      </c>
      <c r="H13" s="225" t="s">
        <v>45</v>
      </c>
      <c r="I13" s="225" t="s">
        <v>116</v>
      </c>
      <c r="J13" s="225" t="s">
        <v>154</v>
      </c>
      <c r="K13" s="128" t="s">
        <v>94</v>
      </c>
      <c r="L13" s="129" t="s">
        <v>146</v>
      </c>
    </row>
    <row r="14" spans="1:37" ht="144">
      <c r="B14" s="269" t="s">
        <v>95</v>
      </c>
      <c r="C14" s="130" t="s">
        <v>96</v>
      </c>
      <c r="D14" s="131" t="s">
        <v>36</v>
      </c>
      <c r="E14" s="132" t="s">
        <v>54</v>
      </c>
      <c r="F14" s="133" t="s">
        <v>53</v>
      </c>
      <c r="G14" s="134" t="s">
        <v>44</v>
      </c>
      <c r="H14" s="135" t="s">
        <v>117</v>
      </c>
      <c r="I14" s="135" t="s">
        <v>120</v>
      </c>
      <c r="J14" s="135" t="s">
        <v>118</v>
      </c>
      <c r="K14" s="135" t="s">
        <v>97</v>
      </c>
      <c r="L14" s="136" t="s">
        <v>119</v>
      </c>
    </row>
    <row r="15" spans="1:37" ht="229" thickBot="1">
      <c r="B15" s="269"/>
      <c r="C15" s="137" t="s">
        <v>98</v>
      </c>
      <c r="D15" s="138" t="s">
        <v>36</v>
      </c>
      <c r="E15" s="139" t="s">
        <v>41</v>
      </c>
      <c r="F15" s="140" t="s">
        <v>40</v>
      </c>
      <c r="G15" s="140" t="s">
        <v>48</v>
      </c>
      <c r="H15" s="141" t="s">
        <v>46</v>
      </c>
      <c r="I15" s="141" t="s">
        <v>143</v>
      </c>
      <c r="J15" s="135" t="s">
        <v>118</v>
      </c>
      <c r="K15" s="141" t="s">
        <v>142</v>
      </c>
      <c r="L15" s="136" t="s">
        <v>119</v>
      </c>
    </row>
    <row r="16" spans="1:37" ht="192">
      <c r="B16" s="142" t="s">
        <v>49</v>
      </c>
      <c r="C16" s="143" t="s">
        <v>71</v>
      </c>
      <c r="D16" s="144">
        <v>185</v>
      </c>
      <c r="E16" s="145">
        <v>141</v>
      </c>
      <c r="F16" s="145">
        <f>G16*2</f>
        <v>26000000</v>
      </c>
      <c r="G16" s="146">
        <v>13000000</v>
      </c>
      <c r="H16" s="147" t="s">
        <v>99</v>
      </c>
      <c r="I16" s="147" t="s">
        <v>144</v>
      </c>
      <c r="J16" s="147" t="s">
        <v>100</v>
      </c>
      <c r="K16" s="147" t="s">
        <v>181</v>
      </c>
      <c r="L16" s="215" t="s">
        <v>87</v>
      </c>
    </row>
    <row r="17" spans="2:118" ht="240">
      <c r="B17" s="148"/>
      <c r="C17" s="149" t="s">
        <v>72</v>
      </c>
      <c r="D17" s="150">
        <v>700</v>
      </c>
      <c r="E17" s="220">
        <f>(F17/D17)/1000</f>
        <v>336.73469387755108</v>
      </c>
      <c r="F17" s="151">
        <f>G17/0.7</f>
        <v>235714285.71428573</v>
      </c>
      <c r="G17" s="152">
        <v>165000000</v>
      </c>
      <c r="H17" s="153" t="s">
        <v>99</v>
      </c>
      <c r="I17" s="147" t="s">
        <v>144</v>
      </c>
      <c r="J17" s="147" t="s">
        <v>182</v>
      </c>
      <c r="K17" s="147" t="s">
        <v>197</v>
      </c>
      <c r="L17" s="215" t="s">
        <v>197</v>
      </c>
      <c r="M17" s="29" t="s">
        <v>199</v>
      </c>
      <c r="N17" s="219" t="s">
        <v>200</v>
      </c>
      <c r="O17" s="29" t="s">
        <v>201</v>
      </c>
      <c r="P17" s="29" t="s">
        <v>202</v>
      </c>
      <c r="Q17" s="29" t="s">
        <v>203</v>
      </c>
      <c r="R17" s="29" t="s">
        <v>204</v>
      </c>
      <c r="S17" s="29" t="s">
        <v>205</v>
      </c>
      <c r="T17" s="29" t="s">
        <v>206</v>
      </c>
      <c r="U17" s="29" t="s">
        <v>207</v>
      </c>
      <c r="V17" s="29" t="s">
        <v>208</v>
      </c>
      <c r="W17" s="29" t="s">
        <v>209</v>
      </c>
      <c r="X17" s="29" t="s">
        <v>210</v>
      </c>
      <c r="Y17" s="29" t="s">
        <v>211</v>
      </c>
      <c r="Z17" s="29" t="s">
        <v>212</v>
      </c>
      <c r="AA17" s="29" t="s">
        <v>213</v>
      </c>
      <c r="AB17" s="29" t="s">
        <v>214</v>
      </c>
      <c r="AC17" s="29" t="s">
        <v>215</v>
      </c>
      <c r="AD17" s="29" t="s">
        <v>216</v>
      </c>
      <c r="AE17" s="29" t="s">
        <v>217</v>
      </c>
      <c r="AF17" s="29" t="s">
        <v>218</v>
      </c>
      <c r="AG17" s="29" t="s">
        <v>219</v>
      </c>
      <c r="AH17" s="29" t="s">
        <v>220</v>
      </c>
      <c r="AI17" s="29" t="s">
        <v>221</v>
      </c>
      <c r="AJ17" s="29" t="s">
        <v>222</v>
      </c>
      <c r="AK17" s="29" t="s">
        <v>223</v>
      </c>
      <c r="AL17" s="77" t="s">
        <v>224</v>
      </c>
      <c r="AM17" s="77" t="s">
        <v>225</v>
      </c>
      <c r="AN17" s="77" t="s">
        <v>226</v>
      </c>
      <c r="AO17" s="77" t="s">
        <v>227</v>
      </c>
      <c r="AP17" s="77" t="s">
        <v>228</v>
      </c>
      <c r="AQ17" s="77" t="s">
        <v>229</v>
      </c>
      <c r="AR17" s="77" t="s">
        <v>230</v>
      </c>
      <c r="AS17" s="77" t="s">
        <v>231</v>
      </c>
      <c r="AT17" s="77" t="s">
        <v>232</v>
      </c>
      <c r="AU17" s="77" t="s">
        <v>233</v>
      </c>
      <c r="AV17" s="77" t="s">
        <v>234</v>
      </c>
      <c r="AW17" s="77" t="s">
        <v>208</v>
      </c>
      <c r="AX17" s="77" t="s">
        <v>235</v>
      </c>
      <c r="AY17" s="77" t="s">
        <v>236</v>
      </c>
      <c r="AZ17" s="77" t="s">
        <v>237</v>
      </c>
      <c r="BA17" s="77" t="s">
        <v>238</v>
      </c>
      <c r="BB17" s="77" t="s">
        <v>239</v>
      </c>
      <c r="BC17" s="77" t="s">
        <v>223</v>
      </c>
      <c r="BD17" s="77" t="s">
        <v>240</v>
      </c>
      <c r="BE17" s="77">
        <v>28</v>
      </c>
      <c r="BF17" s="77" t="s">
        <v>241</v>
      </c>
      <c r="BG17" s="77" t="s">
        <v>242</v>
      </c>
      <c r="BH17" s="77" t="s">
        <v>210</v>
      </c>
      <c r="BI17" s="77" t="s">
        <v>243</v>
      </c>
      <c r="BJ17" s="77" t="s">
        <v>244</v>
      </c>
      <c r="BK17" s="77" t="s">
        <v>245</v>
      </c>
      <c r="BL17" s="77" t="s">
        <v>246</v>
      </c>
      <c r="BM17" s="77" t="s">
        <v>247</v>
      </c>
      <c r="BN17" s="77" t="s">
        <v>208</v>
      </c>
      <c r="BO17" s="77" t="s">
        <v>248</v>
      </c>
      <c r="BP17" s="77" t="s">
        <v>229</v>
      </c>
      <c r="BQ17" s="77" t="s">
        <v>249</v>
      </c>
      <c r="BR17" s="77" t="s">
        <v>250</v>
      </c>
      <c r="BS17" s="77" t="s">
        <v>251</v>
      </c>
      <c r="BT17" s="77" t="s">
        <v>198</v>
      </c>
      <c r="BU17" s="77" t="s">
        <v>252</v>
      </c>
      <c r="BV17" s="77" t="s">
        <v>209</v>
      </c>
      <c r="BW17" s="77" t="s">
        <v>253</v>
      </c>
      <c r="BX17" s="77" t="s">
        <v>254</v>
      </c>
      <c r="BY17" s="77" t="s">
        <v>255</v>
      </c>
      <c r="BZ17" s="77" t="s">
        <v>256</v>
      </c>
      <c r="CA17" s="77" t="s">
        <v>220</v>
      </c>
      <c r="CB17" s="77" t="s">
        <v>257</v>
      </c>
      <c r="CC17" s="77" t="s">
        <v>258</v>
      </c>
      <c r="CD17" s="77" t="s">
        <v>259</v>
      </c>
      <c r="CE17" s="77" t="s">
        <v>260</v>
      </c>
      <c r="CF17" s="77" t="s">
        <v>261</v>
      </c>
      <c r="CG17" s="77" t="s">
        <v>208</v>
      </c>
      <c r="CH17" s="77" t="s">
        <v>262</v>
      </c>
      <c r="CI17" s="77" t="s">
        <v>235</v>
      </c>
      <c r="CJ17" s="77" t="s">
        <v>232</v>
      </c>
      <c r="CK17" s="77" t="s">
        <v>263</v>
      </c>
      <c r="CL17" s="77" t="s">
        <v>264</v>
      </c>
      <c r="CM17" s="77" t="s">
        <v>265</v>
      </c>
      <c r="CN17" s="77" t="s">
        <v>266</v>
      </c>
      <c r="CO17" s="77" t="s">
        <v>254</v>
      </c>
      <c r="CP17" s="77" t="s">
        <v>208</v>
      </c>
      <c r="CQ17" s="77" t="s">
        <v>199</v>
      </c>
      <c r="CR17" s="77" t="s">
        <v>200</v>
      </c>
      <c r="CS17" s="77" t="s">
        <v>201</v>
      </c>
      <c r="CT17" s="77" t="s">
        <v>232</v>
      </c>
      <c r="CU17" s="77" t="s">
        <v>227</v>
      </c>
      <c r="CV17" s="77" t="s">
        <v>267</v>
      </c>
      <c r="CW17" s="77" t="s">
        <v>268</v>
      </c>
      <c r="CX17" s="77" t="s">
        <v>269</v>
      </c>
      <c r="CY17" s="77" t="s">
        <v>229</v>
      </c>
      <c r="CZ17" s="77">
        <v>30</v>
      </c>
      <c r="DA17" s="77" t="s">
        <v>270</v>
      </c>
      <c r="DB17" s="77" t="s">
        <v>271</v>
      </c>
      <c r="DC17" s="77" t="s">
        <v>254</v>
      </c>
      <c r="DD17" s="77" t="s">
        <v>227</v>
      </c>
      <c r="DE17" s="77" t="s">
        <v>272</v>
      </c>
      <c r="DF17" s="77" t="s">
        <v>273</v>
      </c>
      <c r="DG17" s="77" t="s">
        <v>232</v>
      </c>
      <c r="DH17" s="77" t="s">
        <v>274</v>
      </c>
      <c r="DI17" s="77" t="s">
        <v>275</v>
      </c>
      <c r="DJ17" s="77" t="s">
        <v>246</v>
      </c>
      <c r="DK17" s="77" t="s">
        <v>208</v>
      </c>
      <c r="DL17" s="77" t="s">
        <v>199</v>
      </c>
      <c r="DM17" s="77" t="s">
        <v>200</v>
      </c>
      <c r="DN17" s="77" t="s">
        <v>276</v>
      </c>
    </row>
    <row r="18" spans="2:118" ht="240">
      <c r="B18" s="262">
        <f>E19/E18</f>
        <v>0.81902755905511815</v>
      </c>
      <c r="C18" s="143" t="s">
        <v>73</v>
      </c>
      <c r="D18" s="144">
        <v>565</v>
      </c>
      <c r="E18" s="221">
        <f>(F18/D18)/1000</f>
        <v>321.11251580278127</v>
      </c>
      <c r="F18" s="145">
        <f>G18/0.7</f>
        <v>181428571.42857143</v>
      </c>
      <c r="G18" s="146">
        <v>127000000</v>
      </c>
      <c r="H18" s="147" t="s">
        <v>99</v>
      </c>
      <c r="I18" s="147" t="s">
        <v>144</v>
      </c>
      <c r="J18" s="153" t="s">
        <v>182</v>
      </c>
      <c r="K18" s="147" t="s">
        <v>197</v>
      </c>
      <c r="L18" s="215" t="s">
        <v>197</v>
      </c>
    </row>
    <row r="19" spans="2:118" ht="192">
      <c r="B19" s="148"/>
      <c r="C19" s="143" t="s">
        <v>74</v>
      </c>
      <c r="D19" s="144">
        <v>205</v>
      </c>
      <c r="E19" s="145">
        <v>263</v>
      </c>
      <c r="F19" s="145">
        <f>G19*2</f>
        <v>54000000</v>
      </c>
      <c r="G19" s="146">
        <v>27000000</v>
      </c>
      <c r="H19" s="147" t="s">
        <v>99</v>
      </c>
      <c r="I19" s="147" t="s">
        <v>144</v>
      </c>
      <c r="J19" s="147" t="s">
        <v>100</v>
      </c>
      <c r="K19" s="147" t="s">
        <v>180</v>
      </c>
      <c r="L19" s="215" t="s">
        <v>87</v>
      </c>
    </row>
    <row r="20" spans="2:118" ht="193" thickBot="1">
      <c r="B20" s="154"/>
      <c r="C20" s="155" t="s">
        <v>75</v>
      </c>
      <c r="D20" s="156">
        <v>261</v>
      </c>
      <c r="E20" s="157">
        <v>261</v>
      </c>
      <c r="F20" s="157">
        <f>G20/0.5</f>
        <v>68000000</v>
      </c>
      <c r="G20" s="158">
        <v>34000000</v>
      </c>
      <c r="H20" s="159" t="s">
        <v>99</v>
      </c>
      <c r="I20" s="159" t="s">
        <v>144</v>
      </c>
      <c r="J20" s="159" t="s">
        <v>100</v>
      </c>
      <c r="K20" s="147" t="s">
        <v>180</v>
      </c>
      <c r="L20" s="216" t="s">
        <v>87</v>
      </c>
    </row>
    <row r="21" spans="2:118" s="29" customFormat="1">
      <c r="H21" s="27"/>
      <c r="J21" s="160"/>
    </row>
    <row r="22" spans="2:118" s="29" customFormat="1">
      <c r="H22" s="27"/>
      <c r="J22" s="160"/>
    </row>
    <row r="23" spans="2:118" s="29" customFormat="1">
      <c r="H23" s="27"/>
      <c r="J23" s="160"/>
    </row>
    <row r="24" spans="2:118" s="29" customFormat="1">
      <c r="H24" s="27"/>
      <c r="J24" s="160"/>
    </row>
    <row r="25" spans="2:118" s="29" customFormat="1">
      <c r="H25" s="27"/>
      <c r="J25" s="160"/>
    </row>
    <row r="26" spans="2:118" s="29" customFormat="1">
      <c r="B26" s="27"/>
      <c r="C26" s="25"/>
      <c r="D26" s="25"/>
      <c r="E26" s="28"/>
      <c r="F26" s="28"/>
      <c r="G26" s="28"/>
      <c r="H26" s="27"/>
      <c r="I26" s="27"/>
      <c r="J26" s="160"/>
    </row>
    <row r="27" spans="2:118" s="29" customFormat="1">
      <c r="B27" s="27"/>
      <c r="C27" s="25"/>
      <c r="D27" s="25"/>
      <c r="E27" s="28"/>
      <c r="F27" s="28"/>
      <c r="G27" s="28"/>
      <c r="H27" s="27"/>
      <c r="I27" s="27"/>
    </row>
    <row r="28" spans="2:118" s="29" customFormat="1">
      <c r="B28" s="27"/>
      <c r="C28" s="25"/>
      <c r="D28" s="25"/>
      <c r="E28" s="28"/>
      <c r="F28" s="28"/>
      <c r="G28" s="28"/>
      <c r="H28" s="27"/>
      <c r="I28" s="27"/>
    </row>
    <row r="29" spans="2:118" s="29" customFormat="1">
      <c r="B29" s="87"/>
      <c r="C29" s="25"/>
      <c r="D29" s="25"/>
      <c r="E29" s="28"/>
      <c r="F29" s="28"/>
      <c r="G29" s="28"/>
      <c r="H29" s="27"/>
      <c r="I29" s="27"/>
    </row>
    <row r="30" spans="2:118" s="29" customFormat="1">
      <c r="B30" s="27"/>
      <c r="C30" s="25"/>
      <c r="D30" s="25"/>
      <c r="E30" s="28"/>
      <c r="F30" s="28"/>
      <c r="G30" s="28"/>
      <c r="H30" s="27"/>
      <c r="I30" s="27"/>
    </row>
    <row r="31" spans="2:118" s="29" customFormat="1">
      <c r="B31" s="27"/>
      <c r="C31" s="25"/>
      <c r="D31" s="25"/>
      <c r="E31" s="28"/>
      <c r="F31" s="28"/>
      <c r="G31" s="28"/>
      <c r="H31" s="27"/>
      <c r="I31" s="27"/>
    </row>
    <row r="32" spans="2:118" s="29" customFormat="1">
      <c r="H32" s="27"/>
      <c r="J32" s="160"/>
    </row>
    <row r="33" spans="8:10" s="29" customFormat="1">
      <c r="H33" s="27"/>
      <c r="J33" s="160"/>
    </row>
    <row r="34" spans="8:10" s="29" customFormat="1">
      <c r="H34" s="27"/>
      <c r="J34" s="160"/>
    </row>
    <row r="35" spans="8:10" s="29" customFormat="1">
      <c r="H35" s="27"/>
      <c r="J35" s="160"/>
    </row>
    <row r="36" spans="8:10" s="29" customFormat="1">
      <c r="H36" s="27"/>
      <c r="J36" s="160"/>
    </row>
    <row r="37" spans="8:10" s="29" customFormat="1">
      <c r="H37" s="27"/>
      <c r="J37" s="160"/>
    </row>
    <row r="38" spans="8:10" s="29" customFormat="1">
      <c r="H38" s="27"/>
      <c r="J38" s="160"/>
    </row>
    <row r="39" spans="8:10" s="29" customFormat="1">
      <c r="H39" s="27"/>
      <c r="J39" s="160"/>
    </row>
    <row r="40" spans="8:10" s="29" customFormat="1">
      <c r="H40" s="27"/>
      <c r="J40" s="160"/>
    </row>
    <row r="41" spans="8:10" s="29" customFormat="1">
      <c r="H41" s="27"/>
      <c r="J41" s="160"/>
    </row>
    <row r="42" spans="8:10" s="29" customFormat="1">
      <c r="H42" s="27"/>
      <c r="J42" s="160"/>
    </row>
    <row r="43" spans="8:10" s="29" customFormat="1">
      <c r="H43" s="27"/>
      <c r="J43" s="160"/>
    </row>
    <row r="44" spans="8:10" s="29" customFormat="1">
      <c r="H44" s="27"/>
      <c r="J44" s="160"/>
    </row>
    <row r="45" spans="8:10" s="29" customFormat="1">
      <c r="H45" s="27"/>
      <c r="J45" s="160"/>
    </row>
    <row r="46" spans="8:10" s="29" customFormat="1">
      <c r="H46" s="27"/>
      <c r="J46" s="160"/>
    </row>
    <row r="47" spans="8:10" s="29" customFormat="1">
      <c r="H47" s="27"/>
      <c r="J47" s="160"/>
    </row>
    <row r="48" spans="8:10" s="29" customFormat="1">
      <c r="H48" s="27"/>
      <c r="J48" s="160"/>
    </row>
    <row r="49" spans="8:10" s="29" customFormat="1">
      <c r="H49" s="27"/>
      <c r="J49" s="160"/>
    </row>
    <row r="50" spans="8:10" s="29" customFormat="1">
      <c r="H50" s="27"/>
      <c r="J50" s="160"/>
    </row>
    <row r="51" spans="8:10" s="29" customFormat="1">
      <c r="H51" s="27"/>
      <c r="J51" s="160"/>
    </row>
    <row r="52" spans="8:10" s="29" customFormat="1">
      <c r="H52" s="27"/>
      <c r="J52" s="160"/>
    </row>
    <row r="53" spans="8:10" s="29" customFormat="1">
      <c r="H53" s="27"/>
      <c r="J53" s="160"/>
    </row>
    <row r="54" spans="8:10" s="29" customFormat="1">
      <c r="H54" s="27"/>
      <c r="J54" s="160"/>
    </row>
    <row r="55" spans="8:10" s="29" customFormat="1">
      <c r="H55" s="27"/>
      <c r="J55" s="160"/>
    </row>
    <row r="56" spans="8:10" s="29" customFormat="1">
      <c r="H56" s="27"/>
      <c r="J56" s="160"/>
    </row>
    <row r="57" spans="8:10" s="29" customFormat="1">
      <c r="H57" s="27"/>
      <c r="J57" s="160"/>
    </row>
    <row r="58" spans="8:10" s="29" customFormat="1">
      <c r="H58" s="27"/>
      <c r="J58" s="160"/>
    </row>
    <row r="59" spans="8:10" s="29" customFormat="1">
      <c r="H59" s="27"/>
      <c r="J59" s="160"/>
    </row>
    <row r="60" spans="8:10" s="29" customFormat="1">
      <c r="H60" s="27"/>
      <c r="J60" s="160"/>
    </row>
    <row r="61" spans="8:10" s="29" customFormat="1">
      <c r="H61" s="27"/>
      <c r="J61" s="160"/>
    </row>
    <row r="62" spans="8:10" s="29" customFormat="1">
      <c r="H62" s="27"/>
      <c r="J62" s="160"/>
    </row>
    <row r="63" spans="8:10" s="29" customFormat="1">
      <c r="H63" s="27"/>
      <c r="J63" s="160"/>
    </row>
    <row r="64" spans="8:10" s="29" customFormat="1">
      <c r="H64" s="27"/>
      <c r="J64" s="160"/>
    </row>
    <row r="65" spans="8:10" s="29" customFormat="1">
      <c r="H65" s="27"/>
      <c r="J65" s="160"/>
    </row>
    <row r="66" spans="8:10" s="29" customFormat="1">
      <c r="H66" s="27"/>
      <c r="J66" s="160"/>
    </row>
    <row r="67" spans="8:10" s="29" customFormat="1">
      <c r="H67" s="27"/>
      <c r="J67" s="160"/>
    </row>
    <row r="68" spans="8:10" s="29" customFormat="1">
      <c r="H68" s="27"/>
      <c r="J68" s="160"/>
    </row>
    <row r="69" spans="8:10" s="29" customFormat="1">
      <c r="H69" s="27"/>
      <c r="J69" s="160"/>
    </row>
    <row r="70" spans="8:10" s="29" customFormat="1">
      <c r="H70" s="27"/>
      <c r="J70" s="160"/>
    </row>
    <row r="71" spans="8:10" s="29" customFormat="1">
      <c r="H71" s="27"/>
      <c r="J71" s="160"/>
    </row>
    <row r="72" spans="8:10" s="29" customFormat="1">
      <c r="H72" s="27"/>
      <c r="J72" s="160"/>
    </row>
    <row r="73" spans="8:10" s="29" customFormat="1">
      <c r="H73" s="27"/>
      <c r="J73" s="160"/>
    </row>
    <row r="74" spans="8:10" s="29" customFormat="1">
      <c r="H74" s="27"/>
      <c r="J74" s="160"/>
    </row>
    <row r="75" spans="8:10" s="29" customFormat="1">
      <c r="H75" s="27"/>
      <c r="J75" s="160"/>
    </row>
    <row r="76" spans="8:10" s="29" customFormat="1">
      <c r="H76" s="27"/>
      <c r="J76" s="160"/>
    </row>
    <row r="77" spans="8:10" s="29" customFormat="1">
      <c r="H77" s="27"/>
      <c r="J77" s="160"/>
    </row>
    <row r="78" spans="8:10" s="29" customFormat="1">
      <c r="H78" s="27"/>
      <c r="J78" s="160"/>
    </row>
    <row r="79" spans="8:10" s="29" customFormat="1">
      <c r="H79" s="27"/>
      <c r="J79" s="160"/>
    </row>
    <row r="80" spans="8:10" s="29" customFormat="1">
      <c r="H80" s="27"/>
      <c r="J80" s="160"/>
    </row>
    <row r="81" spans="8:10" s="29" customFormat="1">
      <c r="H81" s="27"/>
      <c r="J81" s="160"/>
    </row>
    <row r="82" spans="8:10" s="29" customFormat="1">
      <c r="H82" s="27"/>
      <c r="J82" s="160"/>
    </row>
    <row r="83" spans="8:10" s="29" customFormat="1">
      <c r="H83" s="27"/>
      <c r="J83" s="160"/>
    </row>
    <row r="84" spans="8:10" s="29" customFormat="1">
      <c r="H84" s="27"/>
      <c r="J84" s="160"/>
    </row>
    <row r="85" spans="8:10" s="29" customFormat="1">
      <c r="H85" s="27"/>
      <c r="J85" s="160"/>
    </row>
    <row r="86" spans="8:10" s="29" customFormat="1">
      <c r="H86" s="27"/>
      <c r="J86" s="160"/>
    </row>
    <row r="87" spans="8:10" s="29" customFormat="1">
      <c r="H87" s="27"/>
      <c r="J87" s="160"/>
    </row>
    <row r="88" spans="8:10" s="29" customFormat="1">
      <c r="H88" s="27"/>
      <c r="J88" s="160"/>
    </row>
    <row r="89" spans="8:10" s="29" customFormat="1">
      <c r="H89" s="27"/>
      <c r="J89" s="160"/>
    </row>
    <row r="90" spans="8:10" s="29" customFormat="1">
      <c r="H90" s="27"/>
      <c r="J90" s="160"/>
    </row>
    <row r="91" spans="8:10" s="29" customFormat="1">
      <c r="H91" s="27"/>
      <c r="J91" s="160"/>
    </row>
    <row r="92" spans="8:10" s="29" customFormat="1">
      <c r="H92" s="27"/>
      <c r="J92" s="160"/>
    </row>
    <row r="93" spans="8:10" s="29" customFormat="1">
      <c r="H93" s="27"/>
      <c r="J93" s="160"/>
    </row>
    <row r="94" spans="8:10" s="29" customFormat="1">
      <c r="H94" s="27"/>
      <c r="J94" s="160"/>
    </row>
    <row r="95" spans="8:10" s="29" customFormat="1">
      <c r="H95" s="27"/>
      <c r="J95" s="160"/>
    </row>
    <row r="96" spans="8:10" s="29" customFormat="1">
      <c r="H96" s="27"/>
      <c r="J96" s="160"/>
    </row>
    <row r="97" spans="8:10" s="29" customFormat="1">
      <c r="H97" s="27"/>
      <c r="J97" s="160"/>
    </row>
    <row r="98" spans="8:10" s="29" customFormat="1">
      <c r="H98" s="27"/>
      <c r="J98" s="160"/>
    </row>
    <row r="99" spans="8:10" s="29" customFormat="1">
      <c r="H99" s="27"/>
      <c r="J99" s="160"/>
    </row>
    <row r="100" spans="8:10" s="29" customFormat="1">
      <c r="H100" s="27"/>
      <c r="J100" s="160"/>
    </row>
    <row r="101" spans="8:10" s="29" customFormat="1">
      <c r="H101" s="27"/>
      <c r="J101" s="160"/>
    </row>
    <row r="102" spans="8:10" s="29" customFormat="1">
      <c r="H102" s="27"/>
      <c r="J102" s="160"/>
    </row>
    <row r="103" spans="8:10" s="29" customFormat="1">
      <c r="H103" s="27"/>
      <c r="J103" s="160"/>
    </row>
    <row r="104" spans="8:10" s="29" customFormat="1">
      <c r="H104" s="27"/>
      <c r="J104" s="160"/>
    </row>
    <row r="105" spans="8:10" s="29" customFormat="1">
      <c r="H105" s="27"/>
      <c r="J105" s="160"/>
    </row>
    <row r="106" spans="8:10" s="29" customFormat="1">
      <c r="H106" s="27"/>
      <c r="J106" s="160"/>
    </row>
    <row r="107" spans="8:10" s="29" customFormat="1">
      <c r="H107" s="27"/>
      <c r="J107" s="160"/>
    </row>
    <row r="108" spans="8:10" s="29" customFormat="1">
      <c r="H108" s="27"/>
      <c r="J108" s="160"/>
    </row>
    <row r="109" spans="8:10" s="29" customFormat="1">
      <c r="H109" s="27"/>
      <c r="J109" s="160"/>
    </row>
    <row r="110" spans="8:10" s="29" customFormat="1">
      <c r="H110" s="27"/>
      <c r="J110" s="160"/>
    </row>
    <row r="111" spans="8:10" s="29" customFormat="1">
      <c r="H111" s="27"/>
      <c r="J111" s="160"/>
    </row>
    <row r="112" spans="8:10" s="29" customFormat="1">
      <c r="H112" s="27"/>
      <c r="J112" s="160"/>
    </row>
    <row r="113" spans="8:10" s="29" customFormat="1">
      <c r="H113" s="27"/>
      <c r="J113" s="160"/>
    </row>
    <row r="114" spans="8:10" s="29" customFormat="1">
      <c r="H114" s="27"/>
      <c r="J114" s="160"/>
    </row>
    <row r="115" spans="8:10" s="29" customFormat="1">
      <c r="H115" s="27"/>
      <c r="J115" s="160"/>
    </row>
    <row r="116" spans="8:10" s="29" customFormat="1">
      <c r="H116" s="27"/>
      <c r="J116" s="160"/>
    </row>
    <row r="117" spans="8:10" s="29" customFormat="1">
      <c r="H117" s="27"/>
      <c r="J117" s="160"/>
    </row>
    <row r="118" spans="8:10" s="29" customFormat="1">
      <c r="H118" s="27"/>
      <c r="J118" s="160"/>
    </row>
    <row r="119" spans="8:10" s="29" customFormat="1">
      <c r="H119" s="27"/>
      <c r="J119" s="160"/>
    </row>
    <row r="120" spans="8:10" s="29" customFormat="1">
      <c r="H120" s="27"/>
      <c r="J120" s="160"/>
    </row>
    <row r="121" spans="8:10" s="29" customFormat="1">
      <c r="H121" s="27"/>
      <c r="J121" s="160"/>
    </row>
    <row r="122" spans="8:10" s="29" customFormat="1">
      <c r="H122" s="27"/>
      <c r="J122" s="160"/>
    </row>
    <row r="123" spans="8:10" s="29" customFormat="1">
      <c r="H123" s="27"/>
      <c r="J123" s="160"/>
    </row>
    <row r="124" spans="8:10" s="29" customFormat="1">
      <c r="H124" s="27"/>
      <c r="J124" s="160"/>
    </row>
    <row r="125" spans="8:10" s="29" customFormat="1">
      <c r="H125" s="27"/>
      <c r="J125" s="160"/>
    </row>
    <row r="126" spans="8:10" s="29" customFormat="1">
      <c r="H126" s="27"/>
      <c r="J126" s="160"/>
    </row>
    <row r="127" spans="8:10" s="29" customFormat="1">
      <c r="H127" s="27"/>
      <c r="J127" s="160"/>
    </row>
    <row r="128" spans="8:10" s="29" customFormat="1">
      <c r="H128" s="27"/>
      <c r="J128" s="160"/>
    </row>
    <row r="129" spans="8:10" s="29" customFormat="1">
      <c r="H129" s="27"/>
      <c r="J129" s="160"/>
    </row>
    <row r="130" spans="8:10" s="29" customFormat="1">
      <c r="H130" s="27"/>
      <c r="J130" s="160"/>
    </row>
    <row r="131" spans="8:10" s="29" customFormat="1">
      <c r="H131" s="27"/>
      <c r="J131" s="160"/>
    </row>
    <row r="132" spans="8:10" s="29" customFormat="1">
      <c r="H132" s="27"/>
      <c r="J132" s="160"/>
    </row>
    <row r="133" spans="8:10" s="29" customFormat="1">
      <c r="H133" s="27"/>
      <c r="J133" s="160"/>
    </row>
    <row r="134" spans="8:10" s="29" customFormat="1">
      <c r="H134" s="27"/>
      <c r="J134" s="160"/>
    </row>
    <row r="135" spans="8:10" s="29" customFormat="1">
      <c r="H135" s="27"/>
      <c r="J135" s="160"/>
    </row>
    <row r="136" spans="8:10" s="29" customFormat="1">
      <c r="H136" s="27"/>
      <c r="J136" s="160"/>
    </row>
    <row r="137" spans="8:10" s="29" customFormat="1">
      <c r="H137" s="27"/>
      <c r="J137" s="160"/>
    </row>
    <row r="138" spans="8:10" s="29" customFormat="1">
      <c r="H138" s="27"/>
      <c r="J138" s="160"/>
    </row>
    <row r="139" spans="8:10" s="29" customFormat="1">
      <c r="H139" s="27"/>
      <c r="J139" s="160"/>
    </row>
    <row r="140" spans="8:10" s="29" customFormat="1">
      <c r="H140" s="27"/>
      <c r="J140" s="160"/>
    </row>
    <row r="141" spans="8:10" s="29" customFormat="1">
      <c r="H141" s="27"/>
      <c r="J141" s="160"/>
    </row>
    <row r="142" spans="8:10" s="29" customFormat="1">
      <c r="H142" s="27"/>
      <c r="J142" s="160"/>
    </row>
    <row r="143" spans="8:10" s="29" customFormat="1">
      <c r="H143" s="27"/>
      <c r="J143" s="160"/>
    </row>
    <row r="144" spans="8:10" s="29" customFormat="1">
      <c r="H144" s="27"/>
      <c r="J144" s="160"/>
    </row>
    <row r="145" spans="8:10" s="29" customFormat="1">
      <c r="H145" s="27"/>
      <c r="J145" s="160"/>
    </row>
    <row r="146" spans="8:10" s="29" customFormat="1">
      <c r="H146" s="27"/>
      <c r="J146" s="160"/>
    </row>
    <row r="147" spans="8:10" s="29" customFormat="1">
      <c r="H147" s="27"/>
      <c r="J147" s="160"/>
    </row>
    <row r="148" spans="8:10" s="29" customFormat="1">
      <c r="H148" s="27"/>
      <c r="J148" s="160"/>
    </row>
    <row r="149" spans="8:10" s="29" customFormat="1">
      <c r="H149" s="27"/>
      <c r="J149" s="160"/>
    </row>
    <row r="150" spans="8:10" s="29" customFormat="1">
      <c r="H150" s="27"/>
      <c r="J150" s="160"/>
    </row>
    <row r="151" spans="8:10" s="29" customFormat="1">
      <c r="H151" s="27"/>
      <c r="J151" s="160"/>
    </row>
    <row r="152" spans="8:10" s="29" customFormat="1">
      <c r="H152" s="27"/>
      <c r="J152" s="160"/>
    </row>
    <row r="153" spans="8:10" s="29" customFormat="1">
      <c r="H153" s="27"/>
      <c r="J153" s="160"/>
    </row>
    <row r="154" spans="8:10" s="29" customFormat="1">
      <c r="H154" s="27"/>
      <c r="J154" s="160"/>
    </row>
    <row r="155" spans="8:10" s="29" customFormat="1">
      <c r="H155" s="27"/>
      <c r="J155" s="160"/>
    </row>
    <row r="156" spans="8:10" s="29" customFormat="1">
      <c r="H156" s="27"/>
      <c r="J156" s="160"/>
    </row>
    <row r="157" spans="8:10" s="29" customFormat="1">
      <c r="H157" s="27"/>
      <c r="J157" s="160"/>
    </row>
    <row r="158" spans="8:10" s="29" customFormat="1">
      <c r="H158" s="27"/>
      <c r="J158" s="160"/>
    </row>
  </sheetData>
  <mergeCells count="3">
    <mergeCell ref="B6:B8"/>
    <mergeCell ref="B9:B11"/>
    <mergeCell ref="B14:B15"/>
  </mergeCell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3"/>
  <sheetViews>
    <sheetView showGridLines="0" workbookViewId="0">
      <selection activeCell="J24" sqref="J24"/>
    </sheetView>
  </sheetViews>
  <sheetFormatPr baseColWidth="10" defaultColWidth="8.83203125" defaultRowHeight="12" x14ac:dyDescent="0"/>
  <cols>
    <col min="1" max="1" width="3.6640625" customWidth="1"/>
    <col min="2" max="2" width="3.6640625" hidden="1" customWidth="1"/>
    <col min="3" max="3" width="25.6640625" customWidth="1"/>
    <col min="4" max="6" width="20.6640625" customWidth="1"/>
    <col min="7" max="7" width="5.6640625" customWidth="1"/>
    <col min="8" max="256" width="11.5" customWidth="1"/>
  </cols>
  <sheetData>
    <row r="1" spans="2:12" ht="13" thickBot="1"/>
    <row r="2" spans="2:12" ht="43" customHeight="1">
      <c r="C2" s="270" t="s">
        <v>105</v>
      </c>
      <c r="D2" s="271"/>
      <c r="E2" s="271"/>
      <c r="F2" s="272"/>
    </row>
    <row r="3" spans="2:12" ht="20" customHeight="1" thickBot="1">
      <c r="C3" s="61"/>
      <c r="D3" s="71" t="s">
        <v>136</v>
      </c>
      <c r="E3" s="71" t="s">
        <v>137</v>
      </c>
      <c r="F3" s="72" t="s">
        <v>56</v>
      </c>
    </row>
    <row r="4" spans="2:12" ht="37" customHeight="1">
      <c r="C4" s="12"/>
      <c r="D4" s="73" t="str">
        <f>INDEX(Worksheet!A45:A59,I5,1)</f>
        <v>DeFazio on DeFazio</v>
      </c>
      <c r="E4" s="76" t="str">
        <f>INDEX(Worksheet!A45:A59,I7,1)</f>
        <v>C: Management Trust, 20% Riparian</v>
      </c>
      <c r="F4" s="57"/>
    </row>
    <row r="5" spans="2:12">
      <c r="B5">
        <v>6</v>
      </c>
      <c r="C5" s="14" t="s">
        <v>19</v>
      </c>
      <c r="D5" s="58">
        <f t="shared" ref="D5:D23" ca="1" si="0">INDIRECT(CONCATENATE("Worksheet!",UPPER(CHAR(64+$I$5)),$B5),1)</f>
        <v>90000000</v>
      </c>
      <c r="E5" s="58">
        <f t="shared" ref="E5:E23" ca="1" si="1">INDIRECT(CONCATENATE("Worksheet!",UPPER(CHAR(64+$I$7)),$B5),1)</f>
        <v>127000000</v>
      </c>
      <c r="F5" s="11">
        <f ca="1">D5-E5</f>
        <v>-37000000</v>
      </c>
      <c r="H5" s="273" t="s">
        <v>138</v>
      </c>
      <c r="I5" s="275">
        <v>5</v>
      </c>
      <c r="J5" s="275"/>
      <c r="K5" s="275"/>
      <c r="L5" s="275"/>
    </row>
    <row r="6" spans="2:12">
      <c r="B6">
        <v>7</v>
      </c>
      <c r="C6" s="47" t="s">
        <v>0</v>
      </c>
      <c r="D6" s="58">
        <f t="shared" ca="1" si="0"/>
        <v>2528852.1146784583</v>
      </c>
      <c r="E6" s="58">
        <f t="shared" ca="1" si="1"/>
        <v>3568491.3173796022</v>
      </c>
      <c r="F6" s="11">
        <f t="shared" ref="F6:F27" ca="1" si="2">D6-E6</f>
        <v>-1039639.2027011439</v>
      </c>
      <c r="H6" s="273"/>
      <c r="I6" s="275"/>
      <c r="J6" s="275"/>
      <c r="K6" s="275"/>
      <c r="L6" s="275"/>
    </row>
    <row r="7" spans="2:12">
      <c r="B7">
        <v>8</v>
      </c>
      <c r="C7" s="47" t="s">
        <v>1</v>
      </c>
      <c r="D7" s="58">
        <f t="shared" ca="1" si="0"/>
        <v>4996174.2256676042</v>
      </c>
      <c r="E7" s="58">
        <f t="shared" ca="1" si="1"/>
        <v>7050156.9628865086</v>
      </c>
      <c r="F7" s="11">
        <f t="shared" ca="1" si="2"/>
        <v>-2053982.7372189043</v>
      </c>
      <c r="H7" s="274" t="s">
        <v>139</v>
      </c>
      <c r="I7" s="276">
        <v>8</v>
      </c>
      <c r="J7" s="276"/>
      <c r="K7" s="276"/>
      <c r="L7" s="276"/>
    </row>
    <row r="8" spans="2:12">
      <c r="B8">
        <v>9</v>
      </c>
      <c r="C8" s="47" t="s">
        <v>2</v>
      </c>
      <c r="D8" s="58">
        <f t="shared" ca="1" si="0"/>
        <v>1857190.8397070142</v>
      </c>
      <c r="E8" s="58">
        <f t="shared" ca="1" si="1"/>
        <v>2620702.629364342</v>
      </c>
      <c r="F8" s="11">
        <f t="shared" ca="1" si="2"/>
        <v>-763511.78965732781</v>
      </c>
      <c r="H8" s="274"/>
      <c r="I8" s="276"/>
      <c r="J8" s="276"/>
      <c r="K8" s="276"/>
      <c r="L8" s="276"/>
    </row>
    <row r="9" spans="2:12">
      <c r="B9">
        <v>10</v>
      </c>
      <c r="C9" s="47" t="s">
        <v>3</v>
      </c>
      <c r="D9" s="58">
        <f t="shared" ca="1" si="0"/>
        <v>5310341.9932344723</v>
      </c>
      <c r="E9" s="58">
        <f t="shared" ca="1" si="1"/>
        <v>7493482.5904530892</v>
      </c>
      <c r="F9" s="11">
        <f t="shared" ca="1" si="2"/>
        <v>-2183140.5972186169</v>
      </c>
    </row>
    <row r="10" spans="2:12">
      <c r="B10">
        <v>11</v>
      </c>
      <c r="C10" s="47" t="s">
        <v>4</v>
      </c>
      <c r="D10" s="58">
        <f t="shared" ca="1" si="0"/>
        <v>3286452.0969586065</v>
      </c>
      <c r="E10" s="58">
        <f t="shared" ca="1" si="1"/>
        <v>4637549.0701527009</v>
      </c>
      <c r="F10" s="11">
        <f t="shared" ca="1" si="2"/>
        <v>-1351096.9731940944</v>
      </c>
    </row>
    <row r="11" spans="2:12">
      <c r="B11">
        <v>12</v>
      </c>
      <c r="C11" s="47" t="s">
        <v>5</v>
      </c>
      <c r="D11" s="58">
        <f t="shared" ca="1" si="0"/>
        <v>22538875.423896763</v>
      </c>
      <c r="E11" s="58">
        <f t="shared" ca="1" si="1"/>
        <v>31804857.542609878</v>
      </c>
      <c r="F11" s="11">
        <f t="shared" ca="1" si="2"/>
        <v>-9265982.1187131144</v>
      </c>
    </row>
    <row r="12" spans="2:12">
      <c r="B12">
        <v>13</v>
      </c>
      <c r="C12" s="47" t="s">
        <v>6</v>
      </c>
      <c r="D12" s="58">
        <f t="shared" ca="1" si="0"/>
        <v>14105878.495861428</v>
      </c>
      <c r="E12" s="58">
        <f t="shared" ca="1" si="1"/>
        <v>19904961.877493348</v>
      </c>
      <c r="F12" s="11">
        <f t="shared" ca="1" si="2"/>
        <v>-5799083.3816319201</v>
      </c>
    </row>
    <row r="13" spans="2:12">
      <c r="B13">
        <v>14</v>
      </c>
      <c r="C13" s="47" t="s">
        <v>7</v>
      </c>
      <c r="D13" s="58">
        <f t="shared" ca="1" si="0"/>
        <v>10870065.460251968</v>
      </c>
      <c r="E13" s="58">
        <f t="shared" ca="1" si="1"/>
        <v>15338870.149466667</v>
      </c>
      <c r="F13" s="11">
        <f t="shared" ca="1" si="2"/>
        <v>-4468804.689214699</v>
      </c>
    </row>
    <row r="14" spans="2:12">
      <c r="B14">
        <v>15</v>
      </c>
      <c r="C14" s="47" t="s">
        <v>8</v>
      </c>
      <c r="D14" s="58">
        <f t="shared" ca="1" si="0"/>
        <v>2108102.7056456185</v>
      </c>
      <c r="E14" s="58">
        <f t="shared" ca="1" si="1"/>
        <v>2974767.1512999283</v>
      </c>
      <c r="F14" s="11">
        <f t="shared" ca="1" si="2"/>
        <v>-866664.44565430982</v>
      </c>
    </row>
    <row r="15" spans="2:12">
      <c r="B15">
        <v>16</v>
      </c>
      <c r="C15" s="47" t="s">
        <v>9</v>
      </c>
      <c r="D15" s="58">
        <f t="shared" ca="1" si="0"/>
        <v>13744261.654656511</v>
      </c>
      <c r="E15" s="58">
        <f t="shared" ca="1" si="1"/>
        <v>19394680.334904186</v>
      </c>
      <c r="F15" s="11">
        <f t="shared" ca="1" si="2"/>
        <v>-5650418.6802476756</v>
      </c>
    </row>
    <row r="16" spans="2:12">
      <c r="B16">
        <v>17</v>
      </c>
      <c r="C16" s="47" t="s">
        <v>10</v>
      </c>
      <c r="D16" s="58">
        <f t="shared" ca="1" si="0"/>
        <v>321800.3524611115</v>
      </c>
      <c r="E16" s="58">
        <f t="shared" ca="1" si="1"/>
        <v>454096.05291734624</v>
      </c>
      <c r="F16" s="11">
        <f t="shared" ca="1" si="2"/>
        <v>-132295.70045623474</v>
      </c>
    </row>
    <row r="17" spans="1:6">
      <c r="B17">
        <v>18</v>
      </c>
      <c r="C17" s="47" t="s">
        <v>11</v>
      </c>
      <c r="D17" s="58">
        <f t="shared" ca="1" si="0"/>
        <v>2376593.045298364</v>
      </c>
      <c r="E17" s="58">
        <f t="shared" ca="1" si="1"/>
        <v>3353636.8528099135</v>
      </c>
      <c r="F17" s="11">
        <f t="shared" ca="1" si="2"/>
        <v>-977043.80751154944</v>
      </c>
    </row>
    <row r="18" spans="1:6">
      <c r="B18">
        <v>19</v>
      </c>
      <c r="C18" s="47" t="s">
        <v>12</v>
      </c>
      <c r="D18" s="58">
        <f t="shared" ca="1" si="0"/>
        <v>1316600.6792320625</v>
      </c>
      <c r="E18" s="58">
        <f t="shared" ca="1" si="1"/>
        <v>1857869.8473607993</v>
      </c>
      <c r="F18" s="11">
        <f t="shared" ca="1" si="2"/>
        <v>-541269.16812873678</v>
      </c>
    </row>
    <row r="19" spans="1:6">
      <c r="B19">
        <v>20</v>
      </c>
      <c r="C19" s="47" t="s">
        <v>13</v>
      </c>
      <c r="D19" s="58">
        <f t="shared" ca="1" si="0"/>
        <v>979915.02356777899</v>
      </c>
      <c r="E19" s="58">
        <f t="shared" ca="1" si="1"/>
        <v>1382768.9777011992</v>
      </c>
      <c r="F19" s="11">
        <f t="shared" ca="1" si="2"/>
        <v>-402853.95413342025</v>
      </c>
    </row>
    <row r="20" spans="1:6">
      <c r="B20">
        <v>21</v>
      </c>
      <c r="C20" s="47" t="s">
        <v>14</v>
      </c>
      <c r="D20" s="58">
        <f t="shared" ca="1" si="0"/>
        <v>1940545.6594134849</v>
      </c>
      <c r="E20" s="58">
        <f t="shared" ca="1" si="1"/>
        <v>2738325.5416168063</v>
      </c>
      <c r="F20" s="11">
        <f t="shared" ca="1" si="2"/>
        <v>-797779.88220332144</v>
      </c>
    </row>
    <row r="21" spans="1:6">
      <c r="B21">
        <v>22</v>
      </c>
      <c r="C21" s="47" t="s">
        <v>15</v>
      </c>
      <c r="D21" s="58">
        <f t="shared" ca="1" si="0"/>
        <v>502399.84765331622</v>
      </c>
      <c r="E21" s="58">
        <f t="shared" ca="1" si="1"/>
        <v>708942.00724412396</v>
      </c>
      <c r="F21" s="11">
        <f t="shared" ca="1" si="2"/>
        <v>-206542.15959080774</v>
      </c>
    </row>
    <row r="22" spans="1:6">
      <c r="B22">
        <v>23</v>
      </c>
      <c r="C22" s="47" t="s">
        <v>16</v>
      </c>
      <c r="D22" s="58">
        <f t="shared" ca="1" si="0"/>
        <v>566624.34115303634</v>
      </c>
      <c r="E22" s="58">
        <f t="shared" ca="1" si="1"/>
        <v>799569.90362706245</v>
      </c>
      <c r="F22" s="11">
        <f t="shared" ca="1" si="2"/>
        <v>-232945.56247402611</v>
      </c>
    </row>
    <row r="23" spans="1:6" ht="13" thickBot="1">
      <c r="B23">
        <v>24</v>
      </c>
      <c r="C23" s="48" t="s">
        <v>17</v>
      </c>
      <c r="D23" s="59">
        <f t="shared" ca="1" si="0"/>
        <v>649326.04066239833</v>
      </c>
      <c r="E23" s="59">
        <f t="shared" ca="1" si="1"/>
        <v>916271.19071249536</v>
      </c>
      <c r="F23" s="60">
        <f t="shared" ca="1" si="2"/>
        <v>-266945.15005009703</v>
      </c>
    </row>
    <row r="24" spans="1:6" ht="13" thickBot="1"/>
    <row r="25" spans="1:6">
      <c r="B25">
        <v>3</v>
      </c>
      <c r="C25" s="66" t="s">
        <v>106</v>
      </c>
      <c r="D25" s="74">
        <f ca="1">INDIRECT(CONCATENATE("Worksheet!",UPPER(CHAR(64+$I$5)),$B25),1)</f>
        <v>545.4545454545455</v>
      </c>
      <c r="E25" s="74">
        <f ca="1">INDIRECT(CONCATENATE("Worksheet!",UPPER(CHAR(64+$I$7)),$B25),1)</f>
        <v>565</v>
      </c>
      <c r="F25" s="75">
        <f t="shared" ca="1" si="2"/>
        <v>-19.545454545454504</v>
      </c>
    </row>
    <row r="26" spans="1:6">
      <c r="B26">
        <v>4</v>
      </c>
      <c r="C26" s="50" t="s">
        <v>107</v>
      </c>
      <c r="D26" s="58">
        <f ca="1">INDIRECT(CONCATENATE("Worksheet!",UPPER(CHAR(64+$I$5)),$B26),1)</f>
        <v>249</v>
      </c>
      <c r="E26" s="58">
        <f ca="1">INDIRECT(CONCATENATE("Worksheet!",UPPER(CHAR(64+$I$7)),$B26),1)</f>
        <v>321.11251580278127</v>
      </c>
      <c r="F26" s="11">
        <f t="shared" ca="1" si="2"/>
        <v>-72.112515802781274</v>
      </c>
    </row>
    <row r="27" spans="1:6" ht="13" thickBot="1">
      <c r="B27">
        <v>5</v>
      </c>
      <c r="C27" s="67" t="s">
        <v>42</v>
      </c>
      <c r="D27" s="59">
        <f ca="1">INDIRECT(CONCATENATE("Worksheet!",UPPER(CHAR(64+$I$5)),$B27),1)</f>
        <v>134952766.5317139</v>
      </c>
      <c r="E27" s="59">
        <f ca="1">INDIRECT(CONCATENATE("Worksheet!",UPPER(CHAR(64+$I$7)),$B27),1)</f>
        <v>181428571.42857143</v>
      </c>
      <c r="F27" s="60">
        <f t="shared" ca="1" si="2"/>
        <v>-46475804.89685753</v>
      </c>
    </row>
    <row r="32" spans="1:6" s="77" customFormat="1" ht="14">
      <c r="A32" s="161"/>
      <c r="B32" s="161"/>
      <c r="C32" s="161"/>
      <c r="D32" s="161"/>
    </row>
    <row r="33" spans="1:4" s="77" customFormat="1" ht="14">
      <c r="A33" s="161"/>
      <c r="B33" s="161"/>
      <c r="C33" s="161"/>
      <c r="D33" s="161"/>
    </row>
  </sheetData>
  <sheetProtection sheet="1" objects="1" scenarios="1"/>
  <mergeCells count="5">
    <mergeCell ref="C2:F2"/>
    <mergeCell ref="H5:H6"/>
    <mergeCell ref="H7:H8"/>
    <mergeCell ref="I5:L6"/>
    <mergeCell ref="I7:L8"/>
  </mergeCells>
  <pageMargins left="0.75" right="0.75" top="1" bottom="1" header="0.5" footer="0.5"/>
  <pageSetup orientation="portrait"/>
  <headerFooter alignWithMargins="0"/>
  <ignoredErrors>
    <ignoredError sqref="D4:E4" emptyCellReference="1"/>
  </ignoredErrors>
  <drawing r:id="rId1"/>
  <legacyDrawing r:id="rId2"/>
  <mc:AlternateContent xmlns:mc="http://schemas.openxmlformats.org/markup-compatibility/2006">
    <mc:Choice Requires="x14">
      <controls>
        <mc:AlternateContent xmlns:mc="http://schemas.openxmlformats.org/markup-compatibility/2006">
          <mc:Choice Requires="x14">
            <control shapeId="183303" r:id="rId3" name="Drop Down 7">
              <controlPr defaultSize="0" autoLine="0" autoPict="0">
                <anchor moveWithCells="1">
                  <from>
                    <xdr:col>8</xdr:col>
                    <xdr:colOff>0</xdr:colOff>
                    <xdr:row>4</xdr:row>
                    <xdr:rowOff>0</xdr:rowOff>
                  </from>
                  <to>
                    <xdr:col>12</xdr:col>
                    <xdr:colOff>0</xdr:colOff>
                    <xdr:row>6</xdr:row>
                    <xdr:rowOff>0</xdr:rowOff>
                  </to>
                </anchor>
              </controlPr>
            </control>
          </mc:Choice>
          <mc:Fallback/>
        </mc:AlternateContent>
        <mc:AlternateContent xmlns:mc="http://schemas.openxmlformats.org/markup-compatibility/2006">
          <mc:Choice Requires="x14">
            <control shapeId="183304" r:id="rId4" name="Drop Down 8">
              <controlPr defaultSize="0" autoLine="0" autoPict="0">
                <anchor moveWithCells="1">
                  <from>
                    <xdr:col>8</xdr:col>
                    <xdr:colOff>0</xdr:colOff>
                    <xdr:row>6</xdr:row>
                    <xdr:rowOff>0</xdr:rowOff>
                  </from>
                  <to>
                    <xdr:col>12</xdr:col>
                    <xdr:colOff>0</xdr:colOff>
                    <xdr:row>8</xdr:row>
                    <xdr:rowOff>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34"/>
  <sheetViews>
    <sheetView showGridLines="0" tabSelected="1" zoomScale="150" zoomScaleNormal="150" zoomScalePageLayoutView="150" workbookViewId="0">
      <selection activeCell="B1" sqref="B1"/>
    </sheetView>
  </sheetViews>
  <sheetFormatPr baseColWidth="10" defaultColWidth="8.83203125" defaultRowHeight="12" x14ac:dyDescent="0"/>
  <cols>
    <col min="1" max="1" width="3.6640625" customWidth="1"/>
    <col min="2" max="2" width="28.5" customWidth="1"/>
    <col min="3" max="3" width="15.33203125" customWidth="1"/>
    <col min="4" max="4" width="15.1640625" customWidth="1"/>
    <col min="5" max="6" width="15.6640625" customWidth="1"/>
    <col min="7" max="7" width="18" style="21" customWidth="1"/>
    <col min="8" max="8" width="18.1640625" style="21" customWidth="1"/>
    <col min="9" max="9" width="7.6640625" style="21" customWidth="1"/>
    <col min="10" max="10" width="27.6640625" customWidth="1"/>
    <col min="11" max="11" width="16.33203125" customWidth="1"/>
    <col min="12" max="29" width="14.6640625" customWidth="1"/>
    <col min="30" max="256" width="11.5" customWidth="1"/>
  </cols>
  <sheetData>
    <row r="1" spans="2:29" ht="27.75" customHeight="1" thickBot="1">
      <c r="B1" s="69" t="s">
        <v>70</v>
      </c>
      <c r="J1" s="70"/>
    </row>
    <row r="2" spans="2:29" ht="50" customHeight="1" thickBot="1">
      <c r="B2" s="247" t="s">
        <v>161</v>
      </c>
      <c r="C2" s="248" t="s">
        <v>167</v>
      </c>
      <c r="D2" s="249" t="s">
        <v>168</v>
      </c>
      <c r="E2" s="249" t="s">
        <v>166</v>
      </c>
      <c r="F2" s="249" t="s">
        <v>165</v>
      </c>
      <c r="G2" s="249" t="s">
        <v>163</v>
      </c>
      <c r="H2" s="250" t="s">
        <v>164</v>
      </c>
      <c r="I2" s="235"/>
      <c r="J2" s="260" t="s">
        <v>161</v>
      </c>
      <c r="K2" s="258" t="s">
        <v>57</v>
      </c>
      <c r="L2" s="258" t="s">
        <v>0</v>
      </c>
      <c r="M2" s="258" t="s">
        <v>1</v>
      </c>
      <c r="N2" s="258" t="s">
        <v>2</v>
      </c>
      <c r="O2" s="258" t="s">
        <v>3</v>
      </c>
      <c r="P2" s="258" t="s">
        <v>4</v>
      </c>
      <c r="Q2" s="258" t="s">
        <v>5</v>
      </c>
      <c r="R2" s="258" t="s">
        <v>6</v>
      </c>
      <c r="S2" s="258" t="s">
        <v>7</v>
      </c>
      <c r="T2" s="258" t="s">
        <v>8</v>
      </c>
      <c r="U2" s="258" t="s">
        <v>9</v>
      </c>
      <c r="V2" s="258" t="s">
        <v>10</v>
      </c>
      <c r="W2" s="258" t="s">
        <v>11</v>
      </c>
      <c r="X2" s="258" t="s">
        <v>12</v>
      </c>
      <c r="Y2" s="258" t="s">
        <v>13</v>
      </c>
      <c r="Z2" s="258" t="s">
        <v>14</v>
      </c>
      <c r="AA2" s="258" t="s">
        <v>15</v>
      </c>
      <c r="AB2" s="258" t="s">
        <v>16</v>
      </c>
      <c r="AC2" s="259" t="s">
        <v>17</v>
      </c>
    </row>
    <row r="3" spans="2:29" ht="15" customHeight="1">
      <c r="B3" s="251" t="s">
        <v>179</v>
      </c>
      <c r="C3" s="230">
        <f>IF(ISBLANK(C41),150,C41)</f>
        <v>150</v>
      </c>
      <c r="D3" s="252">
        <f>H41</f>
        <v>0</v>
      </c>
      <c r="E3" s="252">
        <f>(C3*D3)*1000</f>
        <v>0</v>
      </c>
      <c r="F3" s="252">
        <f>E3*0.5</f>
        <v>0</v>
      </c>
      <c r="G3" s="229" t="e">
        <f>(40000000/0.5)/(1000*D3)</f>
        <v>#DIV/0!</v>
      </c>
      <c r="H3" s="85" t="e">
        <f>(100000000/0.5)/(1000*D3)</f>
        <v>#DIV/0!</v>
      </c>
      <c r="I3" s="229"/>
      <c r="J3" s="78" t="s">
        <v>179</v>
      </c>
      <c r="K3" s="81">
        <f t="shared" ref="K3:K13" si="0">F3</f>
        <v>0</v>
      </c>
      <c r="L3" s="81">
        <f t="shared" ref="L3:U13" si="1">$K3*L$102</f>
        <v>0</v>
      </c>
      <c r="M3" s="81">
        <f t="shared" si="1"/>
        <v>0</v>
      </c>
      <c r="N3" s="81">
        <f t="shared" si="1"/>
        <v>0</v>
      </c>
      <c r="O3" s="81">
        <f t="shared" si="1"/>
        <v>0</v>
      </c>
      <c r="P3" s="81">
        <f t="shared" si="1"/>
        <v>0</v>
      </c>
      <c r="Q3" s="81">
        <f t="shared" si="1"/>
        <v>0</v>
      </c>
      <c r="R3" s="81">
        <f t="shared" si="1"/>
        <v>0</v>
      </c>
      <c r="S3" s="81">
        <f t="shared" si="1"/>
        <v>0</v>
      </c>
      <c r="T3" s="81">
        <f t="shared" si="1"/>
        <v>0</v>
      </c>
      <c r="U3" s="81">
        <f t="shared" si="1"/>
        <v>0</v>
      </c>
      <c r="V3" s="81">
        <f t="shared" ref="V3:AC13" si="2">$K3*V$102</f>
        <v>0</v>
      </c>
      <c r="W3" s="81">
        <f t="shared" si="2"/>
        <v>0</v>
      </c>
      <c r="X3" s="81">
        <f t="shared" si="2"/>
        <v>0</v>
      </c>
      <c r="Y3" s="81">
        <f t="shared" si="2"/>
        <v>0</v>
      </c>
      <c r="Z3" s="81">
        <f t="shared" si="2"/>
        <v>0</v>
      </c>
      <c r="AA3" s="81">
        <f t="shared" si="2"/>
        <v>0</v>
      </c>
      <c r="AB3" s="81">
        <f t="shared" si="2"/>
        <v>0</v>
      </c>
      <c r="AC3" s="82">
        <f t="shared" si="2"/>
        <v>0</v>
      </c>
    </row>
    <row r="4" spans="2:29" ht="15" customHeight="1">
      <c r="B4" s="251" t="s">
        <v>60</v>
      </c>
      <c r="C4" s="230">
        <f>IF(ISBLANK(C42),500,C42)</f>
        <v>606.06060606060612</v>
      </c>
      <c r="D4" s="252">
        <f t="shared" ref="D4:D12" si="3">H42</f>
        <v>0</v>
      </c>
      <c r="E4" s="252">
        <f t="shared" ref="E4:E12" si="4">(C4*D4)*1000</f>
        <v>0</v>
      </c>
      <c r="F4" s="252">
        <f>((E4*(1-C58))*0.95)-10000000</f>
        <v>-10000000</v>
      </c>
      <c r="G4" s="229" t="e">
        <f>((50000000/0.95)/(1-C58))/(1000*D4)</f>
        <v>#DIV/0!</v>
      </c>
      <c r="H4" s="85" t="e">
        <f>((110000000/0.95)/(1-C58))/(1000*D4)</f>
        <v>#DIV/0!</v>
      </c>
      <c r="I4" s="229"/>
      <c r="J4" s="78" t="s">
        <v>60</v>
      </c>
      <c r="K4" s="81">
        <f t="shared" si="0"/>
        <v>-10000000</v>
      </c>
      <c r="L4" s="81">
        <f t="shared" si="1"/>
        <v>-280983.56829760649</v>
      </c>
      <c r="M4" s="81">
        <f t="shared" si="1"/>
        <v>-555130.46951862273</v>
      </c>
      <c r="N4" s="81">
        <f t="shared" si="1"/>
        <v>-206354.53774522379</v>
      </c>
      <c r="O4" s="81">
        <f t="shared" si="1"/>
        <v>-590037.99924827472</v>
      </c>
      <c r="P4" s="81">
        <f t="shared" si="1"/>
        <v>-365161.34410651185</v>
      </c>
      <c r="Q4" s="81">
        <f t="shared" si="1"/>
        <v>-2504319.4915440846</v>
      </c>
      <c r="R4" s="81">
        <f t="shared" si="1"/>
        <v>-1567319.8328734918</v>
      </c>
      <c r="S4" s="81">
        <f t="shared" si="1"/>
        <v>-1207785.0511391077</v>
      </c>
      <c r="T4" s="81">
        <f t="shared" si="1"/>
        <v>-234233.63396062428</v>
      </c>
      <c r="U4" s="81">
        <f t="shared" si="1"/>
        <v>-1527140.1838507233</v>
      </c>
      <c r="V4" s="81">
        <f t="shared" si="2"/>
        <v>-35755.59471790128</v>
      </c>
      <c r="W4" s="81">
        <f t="shared" si="2"/>
        <v>-264065.89392204047</v>
      </c>
      <c r="X4" s="81">
        <f t="shared" si="2"/>
        <v>-146288.96435911805</v>
      </c>
      <c r="Y4" s="81">
        <f t="shared" si="2"/>
        <v>-108879.44706308655</v>
      </c>
      <c r="Z4" s="81">
        <f t="shared" si="2"/>
        <v>-215616.18437927609</v>
      </c>
      <c r="AA4" s="81">
        <f t="shared" si="2"/>
        <v>-55822.205294812913</v>
      </c>
      <c r="AB4" s="81">
        <f t="shared" si="2"/>
        <v>-62958.260128115151</v>
      </c>
      <c r="AC4" s="82">
        <f t="shared" si="2"/>
        <v>-72147.337851377582</v>
      </c>
    </row>
    <row r="5" spans="2:29" ht="15" customHeight="1">
      <c r="B5" s="251" t="s">
        <v>61</v>
      </c>
      <c r="C5" s="230">
        <f>IF(ISBLANK(C43),400,C43)</f>
        <v>484.84848484848487</v>
      </c>
      <c r="D5" s="252">
        <f t="shared" si="3"/>
        <v>0</v>
      </c>
      <c r="E5" s="252">
        <f t="shared" si="4"/>
        <v>0</v>
      </c>
      <c r="F5" s="252">
        <f>((E5*(1-C59))*0.95)-10000000</f>
        <v>-10000000</v>
      </c>
      <c r="G5" s="229" t="e">
        <f>((50000000/0.95)/(1-C59))/(1000*D5)</f>
        <v>#DIV/0!</v>
      </c>
      <c r="H5" s="85" t="e">
        <f>((110000000/0.95)/(1-C59))/(1000*D5)</f>
        <v>#DIV/0!</v>
      </c>
      <c r="I5" s="229"/>
      <c r="J5" s="78" t="s">
        <v>61</v>
      </c>
      <c r="K5" s="81">
        <f t="shared" si="0"/>
        <v>-10000000</v>
      </c>
      <c r="L5" s="81">
        <f t="shared" si="1"/>
        <v>-280983.56829760649</v>
      </c>
      <c r="M5" s="81">
        <f t="shared" si="1"/>
        <v>-555130.46951862273</v>
      </c>
      <c r="N5" s="81">
        <f t="shared" si="1"/>
        <v>-206354.53774522379</v>
      </c>
      <c r="O5" s="81">
        <f t="shared" si="1"/>
        <v>-590037.99924827472</v>
      </c>
      <c r="P5" s="81">
        <f t="shared" si="1"/>
        <v>-365161.34410651185</v>
      </c>
      <c r="Q5" s="81">
        <f t="shared" si="1"/>
        <v>-2504319.4915440846</v>
      </c>
      <c r="R5" s="81">
        <f t="shared" si="1"/>
        <v>-1567319.8328734918</v>
      </c>
      <c r="S5" s="81">
        <f t="shared" si="1"/>
        <v>-1207785.0511391077</v>
      </c>
      <c r="T5" s="81">
        <f t="shared" si="1"/>
        <v>-234233.63396062428</v>
      </c>
      <c r="U5" s="81">
        <f t="shared" si="1"/>
        <v>-1527140.1838507233</v>
      </c>
      <c r="V5" s="81">
        <f t="shared" si="2"/>
        <v>-35755.59471790128</v>
      </c>
      <c r="W5" s="81">
        <f t="shared" si="2"/>
        <v>-264065.89392204047</v>
      </c>
      <c r="X5" s="81">
        <f t="shared" si="2"/>
        <v>-146288.96435911805</v>
      </c>
      <c r="Y5" s="81">
        <f t="shared" si="2"/>
        <v>-108879.44706308655</v>
      </c>
      <c r="Z5" s="81">
        <f t="shared" si="2"/>
        <v>-215616.18437927609</v>
      </c>
      <c r="AA5" s="81">
        <f t="shared" si="2"/>
        <v>-55822.205294812913</v>
      </c>
      <c r="AB5" s="81">
        <f t="shared" si="2"/>
        <v>-62958.260128115151</v>
      </c>
      <c r="AC5" s="82">
        <f t="shared" si="2"/>
        <v>-72147.337851377582</v>
      </c>
    </row>
    <row r="6" spans="2:29" ht="15" customHeight="1">
      <c r="B6" s="253" t="s">
        <v>62</v>
      </c>
      <c r="C6" s="229">
        <f>IF(ISBLANK(C44),350,C44)</f>
        <v>350</v>
      </c>
      <c r="D6" s="252">
        <f t="shared" si="3"/>
        <v>0</v>
      </c>
      <c r="E6" s="252">
        <f t="shared" si="4"/>
        <v>0</v>
      </c>
      <c r="F6" s="252">
        <f>MAX((E6*0.75)-4000000,E6-24000000)</f>
        <v>-4000000</v>
      </c>
      <c r="G6" s="229" t="e">
        <f>MAX((44000000/0.75)/(1000*D6),64000000/(1000*D6))</f>
        <v>#DIV/0!</v>
      </c>
      <c r="H6" s="85" t="e">
        <f>MAX((104000000/0.75)/(1000*D6),124000000/(1000*D6))</f>
        <v>#DIV/0!</v>
      </c>
      <c r="I6" s="229"/>
      <c r="J6" s="78" t="s">
        <v>62</v>
      </c>
      <c r="K6" s="81">
        <f t="shared" si="0"/>
        <v>-4000000</v>
      </c>
      <c r="L6" s="81">
        <f t="shared" si="1"/>
        <v>-112393.42731904259</v>
      </c>
      <c r="M6" s="81">
        <f t="shared" si="1"/>
        <v>-222052.18780744908</v>
      </c>
      <c r="N6" s="81">
        <f t="shared" si="1"/>
        <v>-82541.815098089515</v>
      </c>
      <c r="O6" s="81">
        <f t="shared" si="1"/>
        <v>-236015.19969930989</v>
      </c>
      <c r="P6" s="81">
        <f t="shared" si="1"/>
        <v>-146064.53764260473</v>
      </c>
      <c r="Q6" s="81">
        <f t="shared" si="1"/>
        <v>-1001727.7966176339</v>
      </c>
      <c r="R6" s="81">
        <f t="shared" si="1"/>
        <v>-626927.93314939679</v>
      </c>
      <c r="S6" s="81">
        <f t="shared" si="1"/>
        <v>-483114.02045564307</v>
      </c>
      <c r="T6" s="81">
        <f t="shared" si="1"/>
        <v>-93693.453584249713</v>
      </c>
      <c r="U6" s="81">
        <f t="shared" si="1"/>
        <v>-610856.07354028942</v>
      </c>
      <c r="V6" s="81">
        <f t="shared" si="2"/>
        <v>-14302.237887160512</v>
      </c>
      <c r="W6" s="81">
        <f t="shared" si="2"/>
        <v>-105626.35756881618</v>
      </c>
      <c r="X6" s="81">
        <f t="shared" si="2"/>
        <v>-58515.585743647222</v>
      </c>
      <c r="Y6" s="81">
        <f t="shared" si="2"/>
        <v>-43551.778825234622</v>
      </c>
      <c r="Z6" s="81">
        <f t="shared" si="2"/>
        <v>-86246.473751710437</v>
      </c>
      <c r="AA6" s="81">
        <f t="shared" si="2"/>
        <v>-22328.882117925164</v>
      </c>
      <c r="AB6" s="81">
        <f t="shared" si="2"/>
        <v>-25183.304051246061</v>
      </c>
      <c r="AC6" s="82">
        <f t="shared" si="2"/>
        <v>-28858.935140551035</v>
      </c>
    </row>
    <row r="7" spans="2:29" ht="15" customHeight="1">
      <c r="B7" s="251" t="s">
        <v>63</v>
      </c>
      <c r="C7" s="230">
        <f>IF(ISBLANK(C45),300,C45)</f>
        <v>300</v>
      </c>
      <c r="D7" s="252">
        <f t="shared" si="3"/>
        <v>0</v>
      </c>
      <c r="E7" s="252">
        <f t="shared" si="4"/>
        <v>0</v>
      </c>
      <c r="F7" s="252">
        <f>MAX((E7*0.75)-4000000,E7-24000000)</f>
        <v>-4000000</v>
      </c>
      <c r="G7" s="229" t="e">
        <f>MAX((44000000/0.75)/(1000*D7),64000000/(1000*D7))</f>
        <v>#DIV/0!</v>
      </c>
      <c r="H7" s="85" t="e">
        <f>MAX((104000000/0.75)/(1000*D7),124000000/(1000*D7))</f>
        <v>#DIV/0!</v>
      </c>
      <c r="I7" s="229"/>
      <c r="J7" s="78" t="s">
        <v>63</v>
      </c>
      <c r="K7" s="81">
        <f t="shared" si="0"/>
        <v>-4000000</v>
      </c>
      <c r="L7" s="81">
        <f t="shared" si="1"/>
        <v>-112393.42731904259</v>
      </c>
      <c r="M7" s="81">
        <f t="shared" si="1"/>
        <v>-222052.18780744908</v>
      </c>
      <c r="N7" s="81">
        <f t="shared" si="1"/>
        <v>-82541.815098089515</v>
      </c>
      <c r="O7" s="81">
        <f t="shared" si="1"/>
        <v>-236015.19969930989</v>
      </c>
      <c r="P7" s="81">
        <f t="shared" si="1"/>
        <v>-146064.53764260473</v>
      </c>
      <c r="Q7" s="81">
        <f t="shared" si="1"/>
        <v>-1001727.7966176339</v>
      </c>
      <c r="R7" s="81">
        <f t="shared" si="1"/>
        <v>-626927.93314939679</v>
      </c>
      <c r="S7" s="81">
        <f t="shared" si="1"/>
        <v>-483114.02045564307</v>
      </c>
      <c r="T7" s="81">
        <f t="shared" si="1"/>
        <v>-93693.453584249713</v>
      </c>
      <c r="U7" s="81">
        <f t="shared" si="1"/>
        <v>-610856.07354028942</v>
      </c>
      <c r="V7" s="81">
        <f t="shared" si="2"/>
        <v>-14302.237887160512</v>
      </c>
      <c r="W7" s="81">
        <f t="shared" si="2"/>
        <v>-105626.35756881618</v>
      </c>
      <c r="X7" s="81">
        <f t="shared" si="2"/>
        <v>-58515.585743647222</v>
      </c>
      <c r="Y7" s="81">
        <f t="shared" si="2"/>
        <v>-43551.778825234622</v>
      </c>
      <c r="Z7" s="81">
        <f t="shared" si="2"/>
        <v>-86246.473751710437</v>
      </c>
      <c r="AA7" s="81">
        <f t="shared" si="2"/>
        <v>-22328.882117925164</v>
      </c>
      <c r="AB7" s="81">
        <f t="shared" si="2"/>
        <v>-25183.304051246061</v>
      </c>
      <c r="AC7" s="82">
        <f t="shared" si="2"/>
        <v>-28858.935140551035</v>
      </c>
    </row>
    <row r="8" spans="2:29" ht="15" customHeight="1">
      <c r="B8" s="251" t="s">
        <v>64</v>
      </c>
      <c r="C8" s="230">
        <f>IF(ISBLANK(C46),185,C46)</f>
        <v>185</v>
      </c>
      <c r="D8" s="252">
        <f t="shared" si="3"/>
        <v>0</v>
      </c>
      <c r="E8" s="252">
        <f t="shared" si="4"/>
        <v>0</v>
      </c>
      <c r="F8" s="252">
        <f>E8*0.5</f>
        <v>0</v>
      </c>
      <c r="G8" s="229" t="e">
        <f>(40000000/0.5)/(1000*D8)</f>
        <v>#DIV/0!</v>
      </c>
      <c r="H8" s="85" t="e">
        <f>(100000000/0.5)/(1000*D8)</f>
        <v>#DIV/0!</v>
      </c>
      <c r="I8" s="229"/>
      <c r="J8" s="78" t="s">
        <v>64</v>
      </c>
      <c r="K8" s="81">
        <f t="shared" si="0"/>
        <v>0</v>
      </c>
      <c r="L8" s="81">
        <f t="shared" si="1"/>
        <v>0</v>
      </c>
      <c r="M8" s="81">
        <f t="shared" si="1"/>
        <v>0</v>
      </c>
      <c r="N8" s="81">
        <f t="shared" si="1"/>
        <v>0</v>
      </c>
      <c r="O8" s="81">
        <f t="shared" si="1"/>
        <v>0</v>
      </c>
      <c r="P8" s="81">
        <f t="shared" si="1"/>
        <v>0</v>
      </c>
      <c r="Q8" s="81">
        <f t="shared" si="1"/>
        <v>0</v>
      </c>
      <c r="R8" s="81">
        <f t="shared" si="1"/>
        <v>0</v>
      </c>
      <c r="S8" s="81">
        <f t="shared" si="1"/>
        <v>0</v>
      </c>
      <c r="T8" s="81">
        <f t="shared" si="1"/>
        <v>0</v>
      </c>
      <c r="U8" s="81">
        <f t="shared" si="1"/>
        <v>0</v>
      </c>
      <c r="V8" s="81">
        <f t="shared" si="2"/>
        <v>0</v>
      </c>
      <c r="W8" s="81">
        <f t="shared" si="2"/>
        <v>0</v>
      </c>
      <c r="X8" s="81">
        <f t="shared" si="2"/>
        <v>0</v>
      </c>
      <c r="Y8" s="81">
        <f t="shared" si="2"/>
        <v>0</v>
      </c>
      <c r="Z8" s="81">
        <f t="shared" si="2"/>
        <v>0</v>
      </c>
      <c r="AA8" s="81">
        <f t="shared" si="2"/>
        <v>0</v>
      </c>
      <c r="AB8" s="81">
        <f t="shared" si="2"/>
        <v>0</v>
      </c>
      <c r="AC8" s="82">
        <f t="shared" si="2"/>
        <v>0</v>
      </c>
    </row>
    <row r="9" spans="2:29" ht="15" customHeight="1">
      <c r="B9" s="251" t="s">
        <v>65</v>
      </c>
      <c r="C9" s="230">
        <f>IF(ISBLANK(C47),700,C47)</f>
        <v>700</v>
      </c>
      <c r="D9" s="252">
        <f t="shared" si="3"/>
        <v>0</v>
      </c>
      <c r="E9" s="252">
        <f t="shared" si="4"/>
        <v>0</v>
      </c>
      <c r="F9" s="252">
        <f>E9*(1-C63)</f>
        <v>0</v>
      </c>
      <c r="G9" s="229" t="e">
        <f>(40000000/(1-C63))/(1000*D9)</f>
        <v>#DIV/0!</v>
      </c>
      <c r="H9" s="85" t="e">
        <f>(100000000/(1-C63)/(1000*D9))</f>
        <v>#DIV/0!</v>
      </c>
      <c r="I9" s="229"/>
      <c r="J9" s="78" t="s">
        <v>65</v>
      </c>
      <c r="K9" s="81">
        <f t="shared" si="0"/>
        <v>0</v>
      </c>
      <c r="L9" s="81">
        <f t="shared" si="1"/>
        <v>0</v>
      </c>
      <c r="M9" s="81">
        <f t="shared" si="1"/>
        <v>0</v>
      </c>
      <c r="N9" s="81">
        <f t="shared" si="1"/>
        <v>0</v>
      </c>
      <c r="O9" s="81">
        <f t="shared" si="1"/>
        <v>0</v>
      </c>
      <c r="P9" s="81">
        <f t="shared" si="1"/>
        <v>0</v>
      </c>
      <c r="Q9" s="81">
        <f t="shared" si="1"/>
        <v>0</v>
      </c>
      <c r="R9" s="81">
        <f t="shared" si="1"/>
        <v>0</v>
      </c>
      <c r="S9" s="81">
        <f t="shared" si="1"/>
        <v>0</v>
      </c>
      <c r="T9" s="81">
        <f t="shared" si="1"/>
        <v>0</v>
      </c>
      <c r="U9" s="81">
        <f t="shared" si="1"/>
        <v>0</v>
      </c>
      <c r="V9" s="81">
        <f t="shared" si="2"/>
        <v>0</v>
      </c>
      <c r="W9" s="81">
        <f t="shared" si="2"/>
        <v>0</v>
      </c>
      <c r="X9" s="81">
        <f t="shared" si="2"/>
        <v>0</v>
      </c>
      <c r="Y9" s="81">
        <f t="shared" si="2"/>
        <v>0</v>
      </c>
      <c r="Z9" s="81">
        <f t="shared" si="2"/>
        <v>0</v>
      </c>
      <c r="AA9" s="81">
        <f t="shared" si="2"/>
        <v>0</v>
      </c>
      <c r="AB9" s="81">
        <f t="shared" si="2"/>
        <v>0</v>
      </c>
      <c r="AC9" s="82">
        <f t="shared" si="2"/>
        <v>0</v>
      </c>
    </row>
    <row r="10" spans="2:29" ht="15" customHeight="1">
      <c r="B10" s="253" t="s">
        <v>66</v>
      </c>
      <c r="C10" s="229">
        <f>IF(ISBLANK(C48),565,C48)</f>
        <v>565</v>
      </c>
      <c r="D10" s="252">
        <f t="shared" si="3"/>
        <v>0</v>
      </c>
      <c r="E10" s="252">
        <f t="shared" si="4"/>
        <v>0</v>
      </c>
      <c r="F10" s="252">
        <f>E10*(1-C64)</f>
        <v>0</v>
      </c>
      <c r="G10" s="229" t="e">
        <f>(40000000/(1-C64))/(1000*D10)</f>
        <v>#DIV/0!</v>
      </c>
      <c r="H10" s="85" t="e">
        <f>(100000000/(1-C64))/(1000*D10)</f>
        <v>#DIV/0!</v>
      </c>
      <c r="I10" s="229"/>
      <c r="J10" s="78" t="s">
        <v>66</v>
      </c>
      <c r="K10" s="81">
        <f t="shared" si="0"/>
        <v>0</v>
      </c>
      <c r="L10" s="81">
        <f t="shared" si="1"/>
        <v>0</v>
      </c>
      <c r="M10" s="81">
        <f t="shared" si="1"/>
        <v>0</v>
      </c>
      <c r="N10" s="81">
        <f t="shared" si="1"/>
        <v>0</v>
      </c>
      <c r="O10" s="81">
        <f t="shared" si="1"/>
        <v>0</v>
      </c>
      <c r="P10" s="81">
        <f t="shared" si="1"/>
        <v>0</v>
      </c>
      <c r="Q10" s="81">
        <f t="shared" si="1"/>
        <v>0</v>
      </c>
      <c r="R10" s="81">
        <f t="shared" si="1"/>
        <v>0</v>
      </c>
      <c r="S10" s="81">
        <f t="shared" si="1"/>
        <v>0</v>
      </c>
      <c r="T10" s="81">
        <f t="shared" si="1"/>
        <v>0</v>
      </c>
      <c r="U10" s="81">
        <f t="shared" si="1"/>
        <v>0</v>
      </c>
      <c r="V10" s="81">
        <f t="shared" si="2"/>
        <v>0</v>
      </c>
      <c r="W10" s="81">
        <f t="shared" si="2"/>
        <v>0</v>
      </c>
      <c r="X10" s="81">
        <f t="shared" si="2"/>
        <v>0</v>
      </c>
      <c r="Y10" s="81">
        <f t="shared" si="2"/>
        <v>0</v>
      </c>
      <c r="Z10" s="81">
        <f t="shared" si="2"/>
        <v>0</v>
      </c>
      <c r="AA10" s="81">
        <f t="shared" si="2"/>
        <v>0</v>
      </c>
      <c r="AB10" s="81">
        <f t="shared" si="2"/>
        <v>0</v>
      </c>
      <c r="AC10" s="82">
        <f t="shared" si="2"/>
        <v>0</v>
      </c>
    </row>
    <row r="11" spans="2:29" ht="15" customHeight="1">
      <c r="B11" s="251" t="s">
        <v>67</v>
      </c>
      <c r="C11" s="230">
        <f>IF(ISBLANK(C49),205,C49)</f>
        <v>205</v>
      </c>
      <c r="D11" s="252">
        <f t="shared" si="3"/>
        <v>0</v>
      </c>
      <c r="E11" s="252">
        <f t="shared" si="4"/>
        <v>0</v>
      </c>
      <c r="F11" s="252">
        <f>E11*0.5</f>
        <v>0</v>
      </c>
      <c r="G11" s="229" t="e">
        <f t="shared" ref="G11:G12" si="5">(40000000/0.5)/(1000*D11)</f>
        <v>#DIV/0!</v>
      </c>
      <c r="H11" s="85" t="e">
        <f t="shared" ref="H11:H12" si="6">(100000000/0.5)/(1000*D11)</f>
        <v>#DIV/0!</v>
      </c>
      <c r="I11" s="229"/>
      <c r="J11" s="78" t="s">
        <v>67</v>
      </c>
      <c r="K11" s="81">
        <f t="shared" si="0"/>
        <v>0</v>
      </c>
      <c r="L11" s="81">
        <f t="shared" si="1"/>
        <v>0</v>
      </c>
      <c r="M11" s="81">
        <f t="shared" si="1"/>
        <v>0</v>
      </c>
      <c r="N11" s="81">
        <f t="shared" si="1"/>
        <v>0</v>
      </c>
      <c r="O11" s="81">
        <f t="shared" si="1"/>
        <v>0</v>
      </c>
      <c r="P11" s="81">
        <f t="shared" si="1"/>
        <v>0</v>
      </c>
      <c r="Q11" s="81">
        <f t="shared" si="1"/>
        <v>0</v>
      </c>
      <c r="R11" s="81">
        <f t="shared" si="1"/>
        <v>0</v>
      </c>
      <c r="S11" s="81">
        <f t="shared" si="1"/>
        <v>0</v>
      </c>
      <c r="T11" s="81">
        <f t="shared" si="1"/>
        <v>0</v>
      </c>
      <c r="U11" s="81">
        <f t="shared" si="1"/>
        <v>0</v>
      </c>
      <c r="V11" s="81">
        <f t="shared" si="2"/>
        <v>0</v>
      </c>
      <c r="W11" s="81">
        <f t="shared" si="2"/>
        <v>0</v>
      </c>
      <c r="X11" s="81">
        <f t="shared" si="2"/>
        <v>0</v>
      </c>
      <c r="Y11" s="81">
        <f t="shared" si="2"/>
        <v>0</v>
      </c>
      <c r="Z11" s="81">
        <f t="shared" si="2"/>
        <v>0</v>
      </c>
      <c r="AA11" s="81">
        <f t="shared" si="2"/>
        <v>0</v>
      </c>
      <c r="AB11" s="81">
        <f t="shared" si="2"/>
        <v>0</v>
      </c>
      <c r="AC11" s="82">
        <f t="shared" si="2"/>
        <v>0</v>
      </c>
    </row>
    <row r="12" spans="2:29" ht="15" customHeight="1">
      <c r="B12" s="251" t="s">
        <v>68</v>
      </c>
      <c r="C12" s="230">
        <f>IF(ISBLANK(C50),261,C50)</f>
        <v>261</v>
      </c>
      <c r="D12" s="252">
        <f t="shared" si="3"/>
        <v>0</v>
      </c>
      <c r="E12" s="252">
        <f t="shared" si="4"/>
        <v>0</v>
      </c>
      <c r="F12" s="252">
        <f>E12*0.5</f>
        <v>0</v>
      </c>
      <c r="G12" s="229" t="e">
        <f t="shared" si="5"/>
        <v>#DIV/0!</v>
      </c>
      <c r="H12" s="85" t="e">
        <f t="shared" si="6"/>
        <v>#DIV/0!</v>
      </c>
      <c r="I12" s="229"/>
      <c r="J12" s="78" t="s">
        <v>68</v>
      </c>
      <c r="K12" s="81">
        <f t="shared" si="0"/>
        <v>0</v>
      </c>
      <c r="L12" s="81">
        <f t="shared" si="1"/>
        <v>0</v>
      </c>
      <c r="M12" s="81">
        <f t="shared" si="1"/>
        <v>0</v>
      </c>
      <c r="N12" s="81">
        <f t="shared" si="1"/>
        <v>0</v>
      </c>
      <c r="O12" s="81">
        <f t="shared" si="1"/>
        <v>0</v>
      </c>
      <c r="P12" s="81">
        <f t="shared" si="1"/>
        <v>0</v>
      </c>
      <c r="Q12" s="81">
        <f t="shared" si="1"/>
        <v>0</v>
      </c>
      <c r="R12" s="81">
        <f t="shared" si="1"/>
        <v>0</v>
      </c>
      <c r="S12" s="81">
        <f t="shared" si="1"/>
        <v>0</v>
      </c>
      <c r="T12" s="81">
        <f t="shared" si="1"/>
        <v>0</v>
      </c>
      <c r="U12" s="81">
        <f t="shared" si="1"/>
        <v>0</v>
      </c>
      <c r="V12" s="81">
        <f t="shared" si="2"/>
        <v>0</v>
      </c>
      <c r="W12" s="81">
        <f t="shared" si="2"/>
        <v>0</v>
      </c>
      <c r="X12" s="81">
        <f t="shared" si="2"/>
        <v>0</v>
      </c>
      <c r="Y12" s="81">
        <f t="shared" si="2"/>
        <v>0</v>
      </c>
      <c r="Z12" s="81">
        <f t="shared" si="2"/>
        <v>0</v>
      </c>
      <c r="AA12" s="81">
        <f t="shared" si="2"/>
        <v>0</v>
      </c>
      <c r="AB12" s="81">
        <f t="shared" si="2"/>
        <v>0</v>
      </c>
      <c r="AC12" s="82">
        <f t="shared" si="2"/>
        <v>0</v>
      </c>
    </row>
    <row r="13" spans="2:29" ht="15" customHeight="1" thickBot="1">
      <c r="B13" s="254" t="s">
        <v>69</v>
      </c>
      <c r="C13" s="255" t="s">
        <v>39</v>
      </c>
      <c r="D13" s="255" t="s">
        <v>39</v>
      </c>
      <c r="E13" s="255" t="s">
        <v>39</v>
      </c>
      <c r="F13" s="256">
        <v>36046446.300000004</v>
      </c>
      <c r="G13" s="255" t="s">
        <v>39</v>
      </c>
      <c r="H13" s="165" t="s">
        <v>39</v>
      </c>
      <c r="I13" s="230"/>
      <c r="J13" s="79" t="s">
        <v>69</v>
      </c>
      <c r="K13" s="83">
        <f t="shared" si="0"/>
        <v>36046446.300000004</v>
      </c>
      <c r="L13" s="83">
        <f t="shared" si="1"/>
        <v>1012845.9105822055</v>
      </c>
      <c r="M13" s="83">
        <f t="shared" si="1"/>
        <v>2001048.0658996825</v>
      </c>
      <c r="N13" s="83">
        <f t="shared" si="1"/>
        <v>743834.77635945333</v>
      </c>
      <c r="O13" s="83">
        <f t="shared" si="1"/>
        <v>2126877.3054862376</v>
      </c>
      <c r="P13" s="83">
        <f t="shared" si="1"/>
        <v>1316276.8781171204</v>
      </c>
      <c r="Q13" s="83">
        <f t="shared" si="1"/>
        <v>9027181.8069987167</v>
      </c>
      <c r="R13" s="83">
        <f t="shared" si="1"/>
        <v>5649631.0190599309</v>
      </c>
      <c r="S13" s="83">
        <f t="shared" si="1"/>
        <v>4353635.8987828605</v>
      </c>
      <c r="T13" s="83">
        <f t="shared" si="1"/>
        <v>844329.01082155004</v>
      </c>
      <c r="U13" s="83">
        <f t="shared" si="1"/>
        <v>5504797.6629747236</v>
      </c>
      <c r="V13" s="83">
        <f t="shared" si="2"/>
        <v>128886.21249233923</v>
      </c>
      <c r="W13" s="83">
        <f t="shared" si="2"/>
        <v>951863.70649223286</v>
      </c>
      <c r="X13" s="83">
        <f t="shared" si="2"/>
        <v>527319.72980535636</v>
      </c>
      <c r="Y13" s="83">
        <f t="shared" si="2"/>
        <v>392471.71417332429</v>
      </c>
      <c r="Z13" s="83">
        <f t="shared" si="2"/>
        <v>777219.72116384748</v>
      </c>
      <c r="AA13" s="83">
        <f t="shared" si="2"/>
        <v>201219.21255070495</v>
      </c>
      <c r="AB13" s="83">
        <f t="shared" si="2"/>
        <v>226942.1542849534</v>
      </c>
      <c r="AC13" s="84">
        <f t="shared" si="2"/>
        <v>260065.513954764</v>
      </c>
    </row>
    <row r="14" spans="2:29" s="77" customFormat="1" ht="15" customHeight="1">
      <c r="B14" s="305"/>
      <c r="C14" s="306"/>
      <c r="D14" s="306"/>
      <c r="E14" s="306"/>
      <c r="F14" s="306"/>
      <c r="G14" s="306"/>
      <c r="H14" s="306"/>
      <c r="I14" s="230"/>
      <c r="J14" s="177"/>
      <c r="K14" s="81"/>
      <c r="L14" s="81"/>
      <c r="M14" s="81"/>
      <c r="N14" s="81"/>
      <c r="O14" s="81"/>
      <c r="P14" s="81"/>
      <c r="Q14" s="81"/>
      <c r="R14" s="81"/>
      <c r="S14" s="81"/>
      <c r="T14" s="81"/>
      <c r="U14" s="81"/>
      <c r="V14" s="81"/>
      <c r="W14" s="81"/>
      <c r="X14" s="81"/>
      <c r="Y14" s="81"/>
      <c r="Z14" s="81"/>
      <c r="AA14" s="81"/>
      <c r="AB14" s="81"/>
      <c r="AC14" s="81"/>
    </row>
    <row r="15" spans="2:29" s="77" customFormat="1" ht="15" customHeight="1">
      <c r="B15" s="241"/>
      <c r="C15" s="236"/>
      <c r="D15" s="236"/>
      <c r="E15" s="236"/>
      <c r="F15" s="264"/>
      <c r="G15" s="261"/>
      <c r="H15" s="236"/>
      <c r="I15" s="230"/>
      <c r="J15" s="177"/>
      <c r="K15" s="81"/>
      <c r="L15" s="81"/>
      <c r="M15" s="81"/>
      <c r="N15" s="81"/>
      <c r="O15" s="81"/>
      <c r="P15" s="81"/>
      <c r="Q15" s="81"/>
      <c r="R15" s="81"/>
      <c r="S15" s="81"/>
      <c r="T15" s="81"/>
      <c r="U15" s="81"/>
      <c r="V15" s="81"/>
      <c r="W15" s="81"/>
      <c r="X15" s="81"/>
      <c r="Y15" s="81"/>
      <c r="Z15" s="81"/>
      <c r="AA15" s="81"/>
      <c r="AB15" s="81"/>
      <c r="AC15" s="81"/>
    </row>
    <row r="16" spans="2:29" s="77" customFormat="1" ht="15" customHeight="1" thickBot="1">
      <c r="B16" s="241"/>
      <c r="C16" s="236"/>
      <c r="D16" s="236"/>
      <c r="E16" s="236"/>
      <c r="F16" s="264"/>
      <c r="G16" s="261"/>
      <c r="H16" s="236"/>
      <c r="I16" s="230"/>
      <c r="J16" s="177"/>
      <c r="K16" s="81"/>
      <c r="L16" s="81"/>
      <c r="M16" s="81"/>
      <c r="N16" s="81"/>
      <c r="O16" s="81"/>
      <c r="P16" s="81"/>
      <c r="Q16" s="81"/>
      <c r="R16" s="81"/>
      <c r="S16" s="81"/>
      <c r="T16" s="81"/>
      <c r="U16" s="81"/>
      <c r="V16" s="81"/>
      <c r="W16" s="81"/>
      <c r="X16" s="81"/>
      <c r="Y16" s="81"/>
      <c r="Z16" s="81"/>
      <c r="AA16" s="81"/>
      <c r="AB16" s="81"/>
      <c r="AC16" s="81"/>
    </row>
    <row r="17" spans="2:29" s="77" customFormat="1" ht="19" customHeight="1">
      <c r="B17" s="296" t="s">
        <v>104</v>
      </c>
      <c r="C17" s="297"/>
      <c r="D17" s="297"/>
      <c r="E17" s="298"/>
      <c r="F17" s="298"/>
      <c r="G17" s="298"/>
      <c r="H17" s="299"/>
      <c r="I17" s="230"/>
      <c r="J17" s="177"/>
      <c r="K17" s="81"/>
      <c r="L17" s="81"/>
      <c r="M17" s="81"/>
      <c r="N17" s="81"/>
      <c r="O17" s="81"/>
      <c r="P17" s="81"/>
      <c r="Q17" s="81"/>
      <c r="R17" s="81"/>
      <c r="S17" s="81"/>
      <c r="T17" s="81"/>
      <c r="U17" s="81"/>
      <c r="V17" s="81"/>
      <c r="W17" s="81"/>
      <c r="X17" s="81"/>
      <c r="Y17" s="81"/>
      <c r="Z17" s="81"/>
      <c r="AA17" s="81"/>
      <c r="AB17" s="81"/>
      <c r="AC17" s="81"/>
    </row>
    <row r="18" spans="2:29" s="77" customFormat="1" ht="15" customHeight="1">
      <c r="B18" s="320" t="s">
        <v>169</v>
      </c>
      <c r="C18" s="321"/>
      <c r="D18" s="321"/>
      <c r="E18" s="322"/>
      <c r="F18" s="322"/>
      <c r="G18" s="322"/>
      <c r="H18" s="323"/>
      <c r="I18" s="230"/>
      <c r="J18" s="177"/>
      <c r="K18" s="81"/>
      <c r="L18" s="81"/>
      <c r="M18" s="81"/>
      <c r="N18" s="81"/>
      <c r="O18" s="81"/>
      <c r="P18" s="81"/>
      <c r="Q18" s="81"/>
      <c r="R18" s="81"/>
      <c r="S18" s="81"/>
      <c r="T18" s="81"/>
      <c r="U18" s="81"/>
      <c r="V18" s="81"/>
      <c r="W18" s="81"/>
      <c r="X18" s="81"/>
      <c r="Y18" s="81"/>
      <c r="Z18" s="81"/>
      <c r="AA18" s="81"/>
      <c r="AB18" s="81"/>
      <c r="AC18" s="81"/>
    </row>
    <row r="19" spans="2:29" s="77" customFormat="1" ht="15" customHeight="1">
      <c r="B19" s="292"/>
      <c r="C19" s="293"/>
      <c r="D19" s="293"/>
      <c r="E19" s="294"/>
      <c r="F19" s="294"/>
      <c r="G19" s="294"/>
      <c r="H19" s="295"/>
      <c r="I19" s="230"/>
      <c r="J19" s="177"/>
      <c r="K19" s="81"/>
      <c r="L19" s="81"/>
      <c r="M19" s="81"/>
      <c r="N19" s="81"/>
      <c r="O19" s="81"/>
      <c r="P19" s="81"/>
      <c r="Q19" s="81"/>
      <c r="R19" s="81"/>
      <c r="S19" s="81"/>
      <c r="T19" s="81"/>
      <c r="U19" s="81"/>
      <c r="V19" s="81"/>
      <c r="W19" s="81"/>
      <c r="X19" s="81"/>
      <c r="Y19" s="81"/>
      <c r="Z19" s="81"/>
      <c r="AA19" s="81"/>
      <c r="AB19" s="81"/>
      <c r="AC19" s="81"/>
    </row>
    <row r="20" spans="2:29" s="77" customFormat="1" ht="2" customHeight="1">
      <c r="B20" s="292"/>
      <c r="C20" s="293"/>
      <c r="D20" s="293"/>
      <c r="E20" s="294"/>
      <c r="F20" s="294"/>
      <c r="G20" s="294"/>
      <c r="H20" s="295"/>
      <c r="I20" s="230"/>
      <c r="J20" s="177"/>
      <c r="K20" s="81"/>
      <c r="L20" s="81"/>
      <c r="M20" s="81"/>
      <c r="N20" s="81"/>
      <c r="O20" s="81"/>
      <c r="P20" s="81"/>
      <c r="Q20" s="81"/>
      <c r="R20" s="81"/>
      <c r="S20" s="81"/>
      <c r="T20" s="81"/>
      <c r="U20" s="81"/>
      <c r="V20" s="81"/>
      <c r="W20" s="81"/>
      <c r="X20" s="81"/>
      <c r="Y20" s="81"/>
      <c r="Z20" s="81"/>
      <c r="AA20" s="81"/>
      <c r="AB20" s="81"/>
      <c r="AC20" s="81"/>
    </row>
    <row r="21" spans="2:29" s="77" customFormat="1" ht="15" customHeight="1">
      <c r="B21" s="292" t="s">
        <v>176</v>
      </c>
      <c r="C21" s="293"/>
      <c r="D21" s="293"/>
      <c r="E21" s="294"/>
      <c r="F21" s="294"/>
      <c r="G21" s="294"/>
      <c r="H21" s="295"/>
      <c r="I21" s="230"/>
      <c r="J21" s="263"/>
      <c r="K21" s="81"/>
      <c r="L21" s="81"/>
      <c r="M21" s="81"/>
      <c r="N21" s="81"/>
      <c r="O21" s="81"/>
      <c r="P21" s="81"/>
      <c r="Q21" s="81"/>
      <c r="R21" s="81"/>
      <c r="S21" s="81"/>
      <c r="T21" s="81"/>
      <c r="U21" s="81"/>
      <c r="V21" s="81"/>
      <c r="W21" s="81"/>
      <c r="X21" s="81"/>
      <c r="Y21" s="81"/>
      <c r="Z21" s="81"/>
      <c r="AA21" s="81"/>
      <c r="AB21" s="81"/>
      <c r="AC21" s="81"/>
    </row>
    <row r="22" spans="2:29" s="77" customFormat="1" ht="15" customHeight="1">
      <c r="B22" s="292"/>
      <c r="C22" s="293"/>
      <c r="D22" s="293"/>
      <c r="E22" s="294"/>
      <c r="F22" s="294"/>
      <c r="G22" s="294"/>
      <c r="H22" s="295"/>
      <c r="I22" s="230"/>
      <c r="J22" s="177"/>
      <c r="K22" s="81"/>
      <c r="L22" s="81"/>
      <c r="M22" s="81"/>
      <c r="N22" s="81"/>
      <c r="O22" s="81"/>
      <c r="P22" s="81"/>
      <c r="Q22" s="81"/>
      <c r="R22" s="81"/>
      <c r="S22" s="81"/>
      <c r="T22" s="81"/>
      <c r="U22" s="81"/>
      <c r="V22" s="81"/>
      <c r="W22" s="81"/>
      <c r="X22" s="81"/>
      <c r="Y22" s="81"/>
      <c r="Z22" s="81"/>
      <c r="AA22" s="81"/>
      <c r="AB22" s="81"/>
      <c r="AC22" s="81"/>
    </row>
    <row r="23" spans="2:29" s="77" customFormat="1" ht="2" customHeight="1">
      <c r="B23" s="292"/>
      <c r="C23" s="293"/>
      <c r="D23" s="293"/>
      <c r="E23" s="294"/>
      <c r="F23" s="294"/>
      <c r="G23" s="294"/>
      <c r="H23" s="295"/>
      <c r="I23" s="230"/>
      <c r="J23" s="177"/>
      <c r="K23" s="81"/>
      <c r="L23" s="81"/>
      <c r="M23" s="81"/>
      <c r="N23" s="81"/>
      <c r="O23" s="81"/>
      <c r="P23" s="81"/>
      <c r="Q23" s="81"/>
      <c r="R23" s="81"/>
      <c r="S23" s="81"/>
      <c r="T23" s="81"/>
      <c r="U23" s="81"/>
      <c r="V23" s="81"/>
      <c r="W23" s="81"/>
      <c r="X23" s="81"/>
      <c r="Y23" s="81"/>
      <c r="Z23" s="81"/>
      <c r="AA23" s="81"/>
      <c r="AB23" s="81"/>
      <c r="AC23" s="81"/>
    </row>
    <row r="24" spans="2:29" s="77" customFormat="1" ht="15" customHeight="1">
      <c r="B24" s="292" t="s">
        <v>159</v>
      </c>
      <c r="C24" s="293"/>
      <c r="D24" s="293"/>
      <c r="E24" s="294"/>
      <c r="F24" s="294"/>
      <c r="G24" s="294"/>
      <c r="H24" s="295"/>
      <c r="I24" s="230"/>
      <c r="J24" s="177"/>
      <c r="K24" s="81"/>
      <c r="L24" s="81"/>
      <c r="M24" s="81"/>
      <c r="N24" s="81"/>
      <c r="O24" s="81"/>
      <c r="P24" s="81"/>
      <c r="Q24" s="81"/>
      <c r="R24" s="81"/>
      <c r="S24" s="81"/>
      <c r="T24" s="81"/>
      <c r="U24" s="81"/>
      <c r="V24" s="81"/>
      <c r="W24" s="81"/>
      <c r="X24" s="81"/>
      <c r="Y24" s="81"/>
      <c r="Z24" s="81"/>
      <c r="AA24" s="81"/>
      <c r="AB24" s="81"/>
      <c r="AC24" s="81"/>
    </row>
    <row r="25" spans="2:29" s="77" customFormat="1" ht="15" customHeight="1">
      <c r="B25" s="292"/>
      <c r="C25" s="293"/>
      <c r="D25" s="293"/>
      <c r="E25" s="294"/>
      <c r="F25" s="294"/>
      <c r="G25" s="294"/>
      <c r="H25" s="295"/>
      <c r="I25" s="230"/>
      <c r="J25" s="177"/>
      <c r="K25" s="81"/>
      <c r="L25" s="81"/>
      <c r="M25" s="81"/>
      <c r="N25" s="81"/>
      <c r="O25" s="81"/>
      <c r="P25" s="81"/>
      <c r="Q25" s="81"/>
      <c r="R25" s="81"/>
      <c r="S25" s="81"/>
      <c r="T25" s="81"/>
      <c r="U25" s="81"/>
      <c r="V25" s="81"/>
      <c r="W25" s="81"/>
      <c r="X25" s="81"/>
      <c r="Y25" s="81"/>
      <c r="Z25" s="81"/>
      <c r="AA25" s="81"/>
      <c r="AB25" s="81"/>
      <c r="AC25" s="81"/>
    </row>
    <row r="26" spans="2:29" s="77" customFormat="1" ht="2" customHeight="1">
      <c r="B26" s="292"/>
      <c r="C26" s="293"/>
      <c r="D26" s="293"/>
      <c r="E26" s="294"/>
      <c r="F26" s="294"/>
      <c r="G26" s="294"/>
      <c r="H26" s="295"/>
      <c r="I26" s="230"/>
      <c r="J26" s="177"/>
      <c r="K26" s="81"/>
      <c r="L26" s="81"/>
      <c r="M26" s="81"/>
      <c r="N26" s="81"/>
      <c r="O26" s="81"/>
      <c r="P26" s="81"/>
      <c r="Q26" s="81"/>
      <c r="R26" s="81"/>
      <c r="S26" s="81"/>
      <c r="T26" s="81"/>
      <c r="U26" s="81"/>
      <c r="V26" s="81"/>
      <c r="W26" s="81"/>
      <c r="X26" s="81"/>
      <c r="Y26" s="81"/>
      <c r="Z26" s="81"/>
      <c r="AA26" s="81"/>
      <c r="AB26" s="81"/>
      <c r="AC26" s="81"/>
    </row>
    <row r="27" spans="2:29" s="77" customFormat="1" ht="31" customHeight="1" thickBot="1">
      <c r="B27" s="300" t="s">
        <v>177</v>
      </c>
      <c r="C27" s="301"/>
      <c r="D27" s="301"/>
      <c r="E27" s="301"/>
      <c r="F27" s="301"/>
      <c r="G27" s="301"/>
      <c r="H27" s="302"/>
      <c r="I27" s="230"/>
      <c r="J27" s="177"/>
      <c r="K27" s="81"/>
      <c r="L27" s="81"/>
      <c r="M27" s="81"/>
      <c r="N27" s="81"/>
      <c r="O27" s="81"/>
      <c r="P27" s="81"/>
      <c r="Q27" s="81"/>
      <c r="R27" s="81"/>
      <c r="S27" s="81"/>
      <c r="T27" s="81"/>
      <c r="U27" s="81"/>
      <c r="V27" s="81"/>
      <c r="W27" s="81"/>
      <c r="X27" s="81"/>
      <c r="Y27" s="81"/>
      <c r="Z27" s="81"/>
      <c r="AA27" s="81"/>
      <c r="AB27" s="81"/>
      <c r="AC27" s="81"/>
    </row>
    <row r="28" spans="2:29" s="77" customFormat="1" ht="15" customHeight="1">
      <c r="B28" s="243"/>
      <c r="C28" s="236"/>
      <c r="D28" s="236"/>
      <c r="E28" s="236"/>
      <c r="F28" s="242"/>
      <c r="G28" s="236"/>
      <c r="H28" s="236"/>
      <c r="I28" s="230"/>
      <c r="J28" s="177"/>
      <c r="K28" s="81"/>
      <c r="L28" s="81"/>
      <c r="M28" s="81"/>
      <c r="N28" s="81"/>
      <c r="O28" s="81"/>
      <c r="P28" s="81"/>
      <c r="Q28" s="81"/>
      <c r="R28" s="81"/>
      <c r="S28" s="81"/>
      <c r="T28" s="81"/>
      <c r="U28" s="81"/>
      <c r="V28" s="81"/>
      <c r="W28" s="81"/>
      <c r="X28" s="81"/>
      <c r="Y28" s="81"/>
      <c r="Z28" s="81"/>
      <c r="AA28" s="81"/>
      <c r="AB28" s="81"/>
      <c r="AC28" s="81"/>
    </row>
    <row r="29" spans="2:29" s="77" customFormat="1" ht="15" customHeight="1">
      <c r="B29" s="243"/>
      <c r="C29" s="236"/>
      <c r="D29" s="236"/>
      <c r="E29" s="236"/>
      <c r="F29" s="242"/>
      <c r="G29" s="236"/>
      <c r="H29" s="236"/>
      <c r="I29" s="230"/>
      <c r="J29" s="177"/>
      <c r="K29" s="81"/>
      <c r="L29" s="81"/>
      <c r="M29" s="81"/>
      <c r="N29" s="81"/>
      <c r="O29" s="81"/>
      <c r="P29" s="81"/>
      <c r="Q29" s="81"/>
      <c r="R29" s="81"/>
      <c r="S29" s="81"/>
      <c r="T29" s="81"/>
      <c r="U29" s="81"/>
      <c r="V29" s="81"/>
      <c r="W29" s="81"/>
      <c r="X29" s="81"/>
      <c r="Y29" s="81"/>
      <c r="Z29" s="81"/>
      <c r="AA29" s="81"/>
      <c r="AB29" s="81"/>
      <c r="AC29" s="81"/>
    </row>
    <row r="30" spans="2:29" s="77" customFormat="1" ht="15" customHeight="1" thickBot="1">
      <c r="B30" s="169" t="s">
        <v>158</v>
      </c>
      <c r="C30" s="80"/>
      <c r="D30" s="10"/>
      <c r="E30" s="10"/>
      <c r="F30" s="10"/>
      <c r="G30" s="236"/>
      <c r="H30" s="236"/>
      <c r="I30" s="230"/>
      <c r="J30" s="177"/>
      <c r="K30" s="81"/>
      <c r="L30" s="81"/>
      <c r="M30" s="81"/>
      <c r="N30" s="81"/>
      <c r="O30" s="81"/>
      <c r="P30" s="81"/>
      <c r="Q30" s="81"/>
      <c r="R30" s="81"/>
      <c r="S30" s="81"/>
      <c r="T30" s="81"/>
      <c r="U30" s="81"/>
      <c r="V30" s="81"/>
      <c r="W30" s="81"/>
      <c r="X30" s="81"/>
      <c r="Y30" s="81"/>
      <c r="Z30" s="81"/>
      <c r="AA30" s="81"/>
      <c r="AB30" s="81"/>
      <c r="AC30" s="81"/>
    </row>
    <row r="31" spans="2:29" s="77" customFormat="1" ht="28" customHeight="1">
      <c r="B31" s="308" t="s">
        <v>162</v>
      </c>
      <c r="C31" s="309"/>
      <c r="D31" s="312" t="s">
        <v>170</v>
      </c>
      <c r="E31" s="10"/>
      <c r="F31" s="10"/>
      <c r="G31" s="236"/>
      <c r="H31" s="236"/>
      <c r="I31" s="230"/>
      <c r="J31" s="177"/>
      <c r="K31" s="81"/>
      <c r="L31" s="81"/>
      <c r="M31" s="81"/>
      <c r="N31" s="81"/>
      <c r="O31" s="81"/>
      <c r="P31" s="81"/>
      <c r="Q31" s="81"/>
      <c r="R31" s="81"/>
      <c r="S31" s="81"/>
      <c r="T31" s="81"/>
      <c r="U31" s="81"/>
      <c r="V31" s="81"/>
      <c r="W31" s="81"/>
      <c r="X31" s="81"/>
      <c r="Y31" s="81"/>
      <c r="Z31" s="81"/>
      <c r="AA31" s="81"/>
      <c r="AB31" s="81"/>
      <c r="AC31" s="81"/>
    </row>
    <row r="32" spans="2:29" s="77" customFormat="1" ht="22" customHeight="1">
      <c r="B32" s="310"/>
      <c r="C32" s="311"/>
      <c r="D32" s="313"/>
      <c r="E32" s="10"/>
      <c r="F32" s="10"/>
      <c r="G32" s="236"/>
      <c r="H32" s="236"/>
      <c r="I32" s="230"/>
      <c r="J32" s="177"/>
      <c r="K32" s="81"/>
      <c r="L32" s="81"/>
      <c r="M32" s="81"/>
      <c r="N32" s="81"/>
      <c r="O32" s="81"/>
      <c r="P32" s="81"/>
      <c r="Q32" s="81"/>
      <c r="R32" s="81"/>
      <c r="S32" s="81"/>
      <c r="T32" s="81"/>
      <c r="U32" s="81"/>
      <c r="V32" s="81"/>
      <c r="W32" s="81"/>
      <c r="X32" s="81"/>
      <c r="Y32" s="81"/>
      <c r="Z32" s="81"/>
      <c r="AA32" s="81"/>
      <c r="AB32" s="81"/>
      <c r="AC32" s="81"/>
    </row>
    <row r="33" spans="2:29" s="77" customFormat="1" ht="15" customHeight="1">
      <c r="B33" s="314" t="s">
        <v>76</v>
      </c>
      <c r="C33" s="315"/>
      <c r="D33" s="170"/>
      <c r="E33" s="10"/>
      <c r="F33" s="23"/>
      <c r="G33" s="236"/>
      <c r="H33" s="236"/>
      <c r="I33" s="230"/>
      <c r="J33" s="177"/>
      <c r="K33" s="81"/>
      <c r="L33" s="81"/>
      <c r="M33" s="81"/>
      <c r="N33" s="81"/>
      <c r="O33" s="81"/>
      <c r="P33" s="81"/>
      <c r="Q33" s="81"/>
      <c r="R33" s="81"/>
      <c r="S33" s="81"/>
      <c r="T33" s="81"/>
      <c r="U33" s="81"/>
      <c r="V33" s="81"/>
      <c r="W33" s="81"/>
      <c r="X33" s="81"/>
      <c r="Y33" s="81"/>
      <c r="Z33" s="81"/>
      <c r="AA33" s="81"/>
      <c r="AB33" s="81"/>
      <c r="AC33" s="81"/>
    </row>
    <row r="34" spans="2:29" s="77" customFormat="1" ht="15" customHeight="1">
      <c r="B34" s="314" t="s">
        <v>50</v>
      </c>
      <c r="C34" s="315"/>
      <c r="D34" s="170"/>
      <c r="E34" s="10"/>
      <c r="F34" s="23"/>
      <c r="G34" s="236"/>
      <c r="H34" s="236"/>
      <c r="I34" s="230"/>
      <c r="J34" s="177"/>
      <c r="K34" s="81"/>
      <c r="L34" s="81"/>
      <c r="M34" s="81"/>
      <c r="N34" s="81"/>
      <c r="O34" s="81"/>
      <c r="P34" s="81"/>
      <c r="Q34" s="81"/>
      <c r="R34" s="81"/>
      <c r="S34" s="81"/>
      <c r="T34" s="81"/>
      <c r="U34" s="81"/>
      <c r="V34" s="81"/>
      <c r="W34" s="81"/>
      <c r="X34" s="81"/>
      <c r="Y34" s="81"/>
      <c r="Z34" s="81"/>
      <c r="AA34" s="81"/>
      <c r="AB34" s="81"/>
      <c r="AC34" s="81"/>
    </row>
    <row r="35" spans="2:29" s="77" customFormat="1" ht="15" customHeight="1" thickBot="1">
      <c r="B35" s="316" t="s">
        <v>77</v>
      </c>
      <c r="C35" s="317"/>
      <c r="D35" s="171"/>
      <c r="E35" s="10"/>
      <c r="F35" s="23"/>
      <c r="G35" s="236"/>
      <c r="H35" s="236"/>
      <c r="I35" s="230"/>
      <c r="J35" s="177"/>
      <c r="K35" s="81"/>
      <c r="L35" s="81"/>
      <c r="M35" s="81"/>
      <c r="N35" s="81"/>
      <c r="O35" s="81"/>
      <c r="P35" s="81"/>
      <c r="Q35" s="81"/>
      <c r="R35" s="81"/>
      <c r="S35" s="81"/>
      <c r="T35" s="81"/>
      <c r="U35" s="81"/>
      <c r="V35" s="81"/>
      <c r="W35" s="81"/>
      <c r="X35" s="81"/>
      <c r="Y35" s="81"/>
      <c r="Z35" s="81"/>
      <c r="AA35" s="81"/>
      <c r="AB35" s="81"/>
      <c r="AC35" s="81"/>
    </row>
    <row r="36" spans="2:29" s="77" customFormat="1" ht="15" customHeight="1">
      <c r="B36" s="241"/>
      <c r="C36" s="236"/>
      <c r="D36" s="236"/>
      <c r="E36" s="236"/>
      <c r="F36" s="242"/>
      <c r="G36" s="236"/>
      <c r="H36" s="236"/>
      <c r="I36" s="230"/>
      <c r="J36" s="177"/>
      <c r="K36" s="81"/>
      <c r="L36" s="81"/>
      <c r="M36" s="81"/>
      <c r="N36" s="81"/>
      <c r="O36" s="81"/>
      <c r="P36" s="81"/>
      <c r="Q36" s="81"/>
      <c r="R36" s="81"/>
      <c r="S36" s="81"/>
      <c r="T36" s="81"/>
      <c r="U36" s="81"/>
      <c r="V36" s="81"/>
      <c r="W36" s="81"/>
      <c r="X36" s="81"/>
      <c r="Y36" s="81"/>
      <c r="Z36" s="81"/>
      <c r="AA36" s="81"/>
      <c r="AB36" s="81"/>
      <c r="AC36" s="81"/>
    </row>
    <row r="37" spans="2:29" ht="15" customHeight="1">
      <c r="O37" s="29"/>
      <c r="P37" s="29"/>
    </row>
    <row r="38" spans="2:29" ht="15" customHeight="1" thickBot="1">
      <c r="B38" s="318" t="s">
        <v>157</v>
      </c>
      <c r="C38" s="319"/>
      <c r="D38" s="319"/>
      <c r="E38" s="319"/>
      <c r="O38" s="10"/>
      <c r="P38" s="10"/>
      <c r="Q38" s="10"/>
      <c r="R38" s="10"/>
      <c r="S38" s="10"/>
      <c r="T38" s="10"/>
      <c r="U38" s="10"/>
      <c r="V38" s="10"/>
      <c r="W38" s="10"/>
      <c r="X38" s="10"/>
      <c r="Y38" s="10"/>
      <c r="Z38" s="10"/>
      <c r="AA38" s="10"/>
    </row>
    <row r="39" spans="2:29" ht="30" customHeight="1">
      <c r="B39" s="303" t="s">
        <v>161</v>
      </c>
      <c r="C39" s="283" t="s">
        <v>171</v>
      </c>
      <c r="D39" s="284"/>
      <c r="E39" s="284"/>
      <c r="F39" s="284"/>
      <c r="G39" s="285"/>
      <c r="H39" s="231" t="s">
        <v>160</v>
      </c>
      <c r="O39" s="10"/>
      <c r="P39" s="10"/>
      <c r="Q39" s="10"/>
      <c r="R39" s="10"/>
      <c r="S39" s="10"/>
      <c r="T39" s="10"/>
      <c r="U39" s="10"/>
      <c r="V39" s="10"/>
      <c r="W39" s="10"/>
      <c r="X39" s="10"/>
      <c r="Y39" s="10"/>
      <c r="Z39" s="10"/>
      <c r="AA39" s="10"/>
      <c r="AB39" s="10"/>
      <c r="AC39" s="10"/>
    </row>
    <row r="40" spans="2:29" ht="51" customHeight="1">
      <c r="B40" s="307"/>
      <c r="C40" s="204" t="s">
        <v>173</v>
      </c>
      <c r="D40" s="204" t="s">
        <v>174</v>
      </c>
      <c r="E40" s="187" t="s">
        <v>76</v>
      </c>
      <c r="F40" s="187" t="s">
        <v>50</v>
      </c>
      <c r="G40" s="187" t="s">
        <v>77</v>
      </c>
      <c r="H40" s="244" t="s">
        <v>156</v>
      </c>
      <c r="P40" s="10"/>
      <c r="Q40" s="10"/>
      <c r="R40" s="10"/>
      <c r="S40" s="10"/>
      <c r="T40" s="10"/>
      <c r="U40" s="10"/>
      <c r="V40" s="10"/>
      <c r="W40" s="10"/>
      <c r="X40" s="10"/>
      <c r="Y40" s="10"/>
      <c r="Z40" s="10"/>
      <c r="AA40" s="10"/>
      <c r="AB40" s="10"/>
      <c r="AC40" s="10"/>
    </row>
    <row r="41" spans="2:29" ht="15" customHeight="1">
      <c r="B41" s="68" t="s">
        <v>179</v>
      </c>
      <c r="C41" s="232"/>
      <c r="D41" s="232"/>
      <c r="E41" s="233">
        <v>1</v>
      </c>
      <c r="F41" s="233"/>
      <c r="G41" s="233"/>
      <c r="H41" s="245">
        <f t="shared" ref="H41:H50" si="7">SUM(tprice*E41,eprice*F41,iprice*G41)</f>
        <v>0</v>
      </c>
      <c r="P41" s="10"/>
      <c r="Q41" s="10"/>
      <c r="R41" s="10"/>
      <c r="S41" s="10"/>
      <c r="T41" s="10"/>
      <c r="U41" s="10"/>
      <c r="V41" s="10"/>
      <c r="W41" s="10"/>
      <c r="X41" s="10"/>
      <c r="Y41" s="10"/>
      <c r="Z41" s="10"/>
      <c r="AA41" s="10"/>
      <c r="AB41" s="10"/>
      <c r="AC41" s="10"/>
    </row>
    <row r="42" spans="2:29" ht="15" customHeight="1">
      <c r="B42" s="68" t="s">
        <v>60</v>
      </c>
      <c r="C42" s="232">
        <f>D42/0.825</f>
        <v>606.06060606060612</v>
      </c>
      <c r="D42" s="232">
        <v>500</v>
      </c>
      <c r="E42" s="233"/>
      <c r="F42" s="233"/>
      <c r="G42" s="233">
        <v>1</v>
      </c>
      <c r="H42" s="245">
        <f t="shared" si="7"/>
        <v>0</v>
      </c>
      <c r="P42" s="10"/>
      <c r="Q42" s="10"/>
      <c r="R42" s="10"/>
      <c r="S42" s="10"/>
      <c r="T42" s="10"/>
      <c r="U42" s="10"/>
      <c r="V42" s="10"/>
      <c r="W42" s="10"/>
      <c r="X42" s="10"/>
      <c r="Y42" s="10"/>
      <c r="Z42" s="10"/>
      <c r="AA42" s="10"/>
      <c r="AB42" s="10"/>
      <c r="AC42" s="10"/>
    </row>
    <row r="43" spans="2:29" ht="15" customHeight="1">
      <c r="B43" s="68" t="s">
        <v>61</v>
      </c>
      <c r="C43" s="232">
        <f>D43/0.825</f>
        <v>484.84848484848487</v>
      </c>
      <c r="D43" s="232">
        <v>400</v>
      </c>
      <c r="E43" s="233"/>
      <c r="F43" s="233"/>
      <c r="G43" s="233">
        <v>1</v>
      </c>
      <c r="H43" s="245">
        <f t="shared" si="7"/>
        <v>0</v>
      </c>
      <c r="P43" s="10"/>
      <c r="Q43" s="10"/>
      <c r="R43" s="10"/>
      <c r="S43" s="10"/>
      <c r="T43" s="10"/>
      <c r="U43" s="10"/>
      <c r="V43" s="10"/>
      <c r="W43" s="10"/>
      <c r="X43" s="10"/>
      <c r="Y43" s="10"/>
      <c r="Z43" s="10"/>
      <c r="AA43" s="10"/>
      <c r="AB43" s="10"/>
      <c r="AC43" s="10"/>
    </row>
    <row r="44" spans="2:29" ht="15" customHeight="1">
      <c r="B44" s="68" t="s">
        <v>62</v>
      </c>
      <c r="C44" s="232"/>
      <c r="D44" s="232"/>
      <c r="E44" s="233"/>
      <c r="F44" s="233">
        <v>1</v>
      </c>
      <c r="G44" s="233"/>
      <c r="H44" s="245">
        <f t="shared" si="7"/>
        <v>0</v>
      </c>
      <c r="J44" s="21"/>
      <c r="K44" s="77"/>
      <c r="N44" s="23"/>
    </row>
    <row r="45" spans="2:29" ht="15" customHeight="1">
      <c r="B45" s="68" t="s">
        <v>63</v>
      </c>
      <c r="C45" s="232"/>
      <c r="D45" s="232"/>
      <c r="E45" s="233"/>
      <c r="F45" s="233">
        <v>1</v>
      </c>
      <c r="G45" s="233"/>
      <c r="H45" s="245">
        <f t="shared" si="7"/>
        <v>0</v>
      </c>
      <c r="N45" s="23"/>
      <c r="O45" s="29"/>
      <c r="P45" s="29"/>
    </row>
    <row r="46" spans="2:29" ht="15" customHeight="1">
      <c r="B46" s="68" t="s">
        <v>64</v>
      </c>
      <c r="C46" s="232"/>
      <c r="D46" s="232"/>
      <c r="E46" s="233">
        <v>1</v>
      </c>
      <c r="F46" s="233"/>
      <c r="G46" s="233"/>
      <c r="H46" s="245">
        <f t="shared" si="7"/>
        <v>0</v>
      </c>
      <c r="N46" s="26"/>
    </row>
    <row r="47" spans="2:29" ht="15" customHeight="1">
      <c r="B47" s="68" t="s">
        <v>65</v>
      </c>
      <c r="C47" s="232"/>
      <c r="D47" s="232"/>
      <c r="E47" s="233"/>
      <c r="F47" s="233"/>
      <c r="G47" s="233">
        <v>1</v>
      </c>
      <c r="H47" s="245">
        <f t="shared" si="7"/>
        <v>0</v>
      </c>
      <c r="N47" s="26"/>
    </row>
    <row r="48" spans="2:29" ht="15" customHeight="1">
      <c r="B48" s="68" t="s">
        <v>66</v>
      </c>
      <c r="C48" s="232"/>
      <c r="D48" s="232"/>
      <c r="E48" s="233"/>
      <c r="F48" s="233"/>
      <c r="G48" s="233">
        <v>1</v>
      </c>
      <c r="H48" s="245">
        <f t="shared" si="7"/>
        <v>0</v>
      </c>
      <c r="N48" s="26"/>
    </row>
    <row r="49" spans="2:14" ht="15" customHeight="1">
      <c r="B49" s="68" t="s">
        <v>67</v>
      </c>
      <c r="C49" s="232"/>
      <c r="D49" s="232"/>
      <c r="E49" s="233"/>
      <c r="F49" s="233">
        <v>1</v>
      </c>
      <c r="G49" s="233"/>
      <c r="H49" s="245">
        <f t="shared" si="7"/>
        <v>0</v>
      </c>
      <c r="N49" s="26"/>
    </row>
    <row r="50" spans="2:14" ht="15" customHeight="1">
      <c r="B50" s="68" t="s">
        <v>68</v>
      </c>
      <c r="C50" s="232"/>
      <c r="D50" s="232"/>
      <c r="E50" s="233"/>
      <c r="F50" s="233">
        <v>1</v>
      </c>
      <c r="G50" s="233"/>
      <c r="H50" s="245">
        <f t="shared" si="7"/>
        <v>0</v>
      </c>
      <c r="N50" s="26"/>
    </row>
    <row r="51" spans="2:14" ht="15" customHeight="1" thickBot="1">
      <c r="B51" s="164" t="s">
        <v>69</v>
      </c>
      <c r="C51" s="166" t="s">
        <v>39</v>
      </c>
      <c r="D51" s="166"/>
      <c r="E51" s="166" t="s">
        <v>39</v>
      </c>
      <c r="F51" s="167" t="s">
        <v>39</v>
      </c>
      <c r="G51" s="167" t="s">
        <v>39</v>
      </c>
      <c r="H51" s="168" t="s">
        <v>39</v>
      </c>
    </row>
    <row r="52" spans="2:14" ht="15" customHeight="1"/>
    <row r="53" spans="2:14">
      <c r="B53" s="29"/>
    </row>
    <row r="54" spans="2:14" ht="13" thickBot="1">
      <c r="B54" s="257" t="s">
        <v>175</v>
      </c>
    </row>
    <row r="55" spans="2:14">
      <c r="B55" s="303" t="s">
        <v>161</v>
      </c>
      <c r="C55" s="279" t="s">
        <v>172</v>
      </c>
      <c r="D55" s="280"/>
    </row>
    <row r="56" spans="2:14" ht="17" customHeight="1">
      <c r="B56" s="304"/>
      <c r="C56" s="281"/>
      <c r="D56" s="282"/>
    </row>
    <row r="57" spans="2:14" s="77" customFormat="1" ht="14">
      <c r="B57" s="246" t="s">
        <v>179</v>
      </c>
      <c r="C57" s="290" t="s">
        <v>39</v>
      </c>
      <c r="D57" s="291"/>
      <c r="G57" s="21"/>
      <c r="H57" s="21"/>
      <c r="I57" s="21"/>
    </row>
    <row r="58" spans="2:14" s="77" customFormat="1" ht="14">
      <c r="B58" s="68" t="s">
        <v>60</v>
      </c>
      <c r="C58" s="288"/>
      <c r="D58" s="289"/>
      <c r="G58" s="21"/>
      <c r="H58" s="21"/>
      <c r="I58" s="21"/>
    </row>
    <row r="59" spans="2:14" s="77" customFormat="1" ht="14">
      <c r="B59" s="68" t="s">
        <v>61</v>
      </c>
      <c r="C59" s="288"/>
      <c r="D59" s="289"/>
      <c r="E59"/>
      <c r="F59"/>
      <c r="G59" s="21"/>
      <c r="H59" s="21"/>
      <c r="I59" s="21"/>
    </row>
    <row r="60" spans="2:14" s="77" customFormat="1" ht="14">
      <c r="B60" s="68" t="s">
        <v>62</v>
      </c>
      <c r="C60" s="286" t="s">
        <v>153</v>
      </c>
      <c r="D60" s="287"/>
      <c r="E60"/>
      <c r="F60"/>
      <c r="G60" s="21"/>
      <c r="H60" s="21"/>
      <c r="I60" s="21"/>
    </row>
    <row r="61" spans="2:14" s="77" customFormat="1" ht="14">
      <c r="B61" s="68" t="s">
        <v>63</v>
      </c>
      <c r="C61" s="286" t="s">
        <v>153</v>
      </c>
      <c r="D61" s="287"/>
      <c r="E61"/>
      <c r="F61"/>
      <c r="G61" s="21"/>
      <c r="H61" s="21"/>
      <c r="I61" s="21"/>
    </row>
    <row r="62" spans="2:14" s="77" customFormat="1" ht="14">
      <c r="B62" s="68" t="s">
        <v>64</v>
      </c>
      <c r="C62" s="286" t="s">
        <v>39</v>
      </c>
      <c r="D62" s="287"/>
      <c r="E62"/>
      <c r="F62"/>
      <c r="G62" s="21"/>
      <c r="H62" s="21"/>
      <c r="I62" s="21"/>
    </row>
    <row r="63" spans="2:14" s="77" customFormat="1" ht="14">
      <c r="B63" s="68" t="s">
        <v>65</v>
      </c>
      <c r="C63" s="288"/>
      <c r="D63" s="289"/>
      <c r="E63"/>
      <c r="F63"/>
      <c r="G63" s="21"/>
      <c r="H63" s="21"/>
      <c r="I63" s="21"/>
    </row>
    <row r="64" spans="2:14" s="77" customFormat="1" ht="14">
      <c r="B64" s="68" t="s">
        <v>66</v>
      </c>
      <c r="C64" s="288"/>
      <c r="D64" s="289"/>
      <c r="G64" s="21"/>
      <c r="H64" s="21"/>
      <c r="I64" s="21"/>
    </row>
    <row r="65" spans="2:9" s="77" customFormat="1" ht="14">
      <c r="B65" s="68" t="s">
        <v>67</v>
      </c>
      <c r="C65" s="286" t="s">
        <v>39</v>
      </c>
      <c r="D65" s="287"/>
      <c r="G65" s="21"/>
      <c r="H65" s="21"/>
      <c r="I65" s="21"/>
    </row>
    <row r="66" spans="2:9" s="77" customFormat="1" ht="14">
      <c r="B66" s="68" t="s">
        <v>68</v>
      </c>
      <c r="C66" s="286" t="s">
        <v>39</v>
      </c>
      <c r="D66" s="287"/>
      <c r="G66" s="21"/>
      <c r="H66" s="21"/>
      <c r="I66" s="21"/>
    </row>
    <row r="67" spans="2:9" s="77" customFormat="1" ht="13" thickBot="1">
      <c r="B67" s="164" t="s">
        <v>69</v>
      </c>
      <c r="C67" s="277"/>
      <c r="D67" s="278"/>
      <c r="G67" s="21"/>
      <c r="H67" s="21"/>
      <c r="I67" s="21"/>
    </row>
    <row r="68" spans="2:9" s="77" customFormat="1">
      <c r="G68" s="21"/>
      <c r="H68" s="21"/>
      <c r="I68" s="21"/>
    </row>
    <row r="69" spans="2:9" s="77" customFormat="1">
      <c r="G69" s="21"/>
      <c r="H69" s="21"/>
      <c r="I69" s="21"/>
    </row>
    <row r="70" spans="2:9" s="77" customFormat="1">
      <c r="G70" s="21"/>
      <c r="H70" s="21"/>
      <c r="I70" s="21"/>
    </row>
    <row r="71" spans="2:9" s="77" customFormat="1">
      <c r="G71" s="21"/>
      <c r="H71" s="21"/>
      <c r="I71" s="21"/>
    </row>
    <row r="72" spans="2:9" s="77" customFormat="1">
      <c r="G72" s="21"/>
      <c r="H72" s="21"/>
      <c r="I72" s="21"/>
    </row>
    <row r="73" spans="2:9" s="77" customFormat="1">
      <c r="G73" s="21"/>
      <c r="H73" s="21"/>
      <c r="I73" s="21"/>
    </row>
    <row r="74" spans="2:9" s="77" customFormat="1">
      <c r="G74" s="21"/>
      <c r="H74" s="21"/>
      <c r="I74" s="21"/>
    </row>
    <row r="75" spans="2:9" s="77" customFormat="1">
      <c r="G75" s="21"/>
      <c r="H75" s="21"/>
      <c r="I75" s="21"/>
    </row>
    <row r="76" spans="2:9" s="77" customFormat="1">
      <c r="G76" s="21"/>
      <c r="H76" s="21"/>
      <c r="I76" s="21"/>
    </row>
    <row r="77" spans="2:9" s="77" customFormat="1">
      <c r="G77" s="21"/>
      <c r="H77" s="21"/>
      <c r="I77" s="21"/>
    </row>
    <row r="78" spans="2:9" s="77" customFormat="1">
      <c r="G78" s="21"/>
      <c r="H78" s="21"/>
      <c r="I78" s="21"/>
    </row>
    <row r="79" spans="2:9" s="77" customFormat="1">
      <c r="G79" s="21"/>
      <c r="H79" s="21"/>
      <c r="I79" s="21"/>
    </row>
    <row r="80" spans="2:9" s="77" customFormat="1">
      <c r="G80" s="21"/>
      <c r="H80" s="21"/>
      <c r="I80" s="21"/>
    </row>
    <row r="81" spans="7:29" s="77" customFormat="1">
      <c r="G81" s="21"/>
      <c r="H81" s="21"/>
      <c r="I81" s="21"/>
    </row>
    <row r="82" spans="7:29" s="77" customFormat="1">
      <c r="G82" s="21"/>
      <c r="H82" s="21"/>
      <c r="I82" s="21"/>
    </row>
    <row r="83" spans="7:29" s="77" customFormat="1">
      <c r="G83" s="21"/>
      <c r="H83" s="21"/>
      <c r="I83" s="21"/>
    </row>
    <row r="89" spans="7:29">
      <c r="J89" s="2" t="s">
        <v>20</v>
      </c>
    </row>
    <row r="90" spans="7:29">
      <c r="J90" s="3"/>
    </row>
    <row r="91" spans="7:29">
      <c r="J91" s="4" t="s">
        <v>21</v>
      </c>
    </row>
    <row r="92" spans="7:29">
      <c r="J92" s="4" t="s">
        <v>22</v>
      </c>
    </row>
    <row r="93" spans="7:29" ht="13" thickBot="1"/>
    <row r="94" spans="7:29">
      <c r="J94" s="172"/>
      <c r="K94" s="173"/>
      <c r="L94" s="174" t="s">
        <v>0</v>
      </c>
      <c r="M94" s="174" t="s">
        <v>1</v>
      </c>
      <c r="N94" s="174" t="s">
        <v>2</v>
      </c>
      <c r="O94" s="174" t="s">
        <v>3</v>
      </c>
      <c r="P94" s="174" t="s">
        <v>4</v>
      </c>
      <c r="Q94" s="174" t="s">
        <v>5</v>
      </c>
      <c r="R94" s="174" t="s">
        <v>6</v>
      </c>
      <c r="S94" s="174" t="s">
        <v>7</v>
      </c>
      <c r="T94" s="174" t="s">
        <v>8</v>
      </c>
      <c r="U94" s="174" t="s">
        <v>9</v>
      </c>
      <c r="V94" s="174" t="s">
        <v>10</v>
      </c>
      <c r="W94" s="174" t="s">
        <v>11</v>
      </c>
      <c r="X94" s="174" t="s">
        <v>12</v>
      </c>
      <c r="Y94" s="174" t="s">
        <v>13</v>
      </c>
      <c r="Z94" s="174" t="s">
        <v>14</v>
      </c>
      <c r="AA94" s="174" t="s">
        <v>15</v>
      </c>
      <c r="AB94" s="174" t="s">
        <v>16</v>
      </c>
      <c r="AC94" s="175" t="s">
        <v>17</v>
      </c>
    </row>
    <row r="95" spans="7:29">
      <c r="J95" s="176" t="s">
        <v>25</v>
      </c>
      <c r="K95" s="177"/>
      <c r="L95" s="8">
        <v>54254.19</v>
      </c>
      <c r="M95" s="8">
        <v>97854.09</v>
      </c>
      <c r="N95" s="8">
        <v>13622</v>
      </c>
      <c r="O95" s="8">
        <v>118342</v>
      </c>
      <c r="P95" s="8">
        <v>9761</v>
      </c>
      <c r="Q95" s="8">
        <v>648777</v>
      </c>
      <c r="R95" s="8">
        <v>444654.04</v>
      </c>
      <c r="S95" s="8">
        <v>185083</v>
      </c>
      <c r="T95" s="8">
        <v>42983</v>
      </c>
      <c r="U95" s="8">
        <v>299361.03000000003</v>
      </c>
      <c r="V95" s="8">
        <v>15984</v>
      </c>
      <c r="W95" s="8">
        <v>62848.15</v>
      </c>
      <c r="X95" s="8">
        <v>33067.379999999997</v>
      </c>
      <c r="Y95" s="8">
        <v>9602.84</v>
      </c>
      <c r="Z95" s="8">
        <v>37289</v>
      </c>
      <c r="AA95" s="8">
        <v>29778.03</v>
      </c>
      <c r="AB95" s="8">
        <v>20559.45</v>
      </c>
      <c r="AC95" s="178">
        <v>30408.46</v>
      </c>
    </row>
    <row r="96" spans="7:29">
      <c r="J96" s="176" t="s">
        <v>23</v>
      </c>
      <c r="K96" s="177"/>
      <c r="L96" s="5">
        <v>817290</v>
      </c>
      <c r="M96" s="5">
        <v>1144710</v>
      </c>
      <c r="N96" s="5">
        <v>453985</v>
      </c>
      <c r="O96" s="5">
        <v>1347290</v>
      </c>
      <c r="P96" s="5">
        <v>107400</v>
      </c>
      <c r="Q96" s="5">
        <v>5967153</v>
      </c>
      <c r="R96" s="5">
        <v>4047945</v>
      </c>
      <c r="S96" s="5">
        <v>1608440</v>
      </c>
      <c r="T96" s="5">
        <v>423490</v>
      </c>
      <c r="U96" s="5">
        <v>3324315</v>
      </c>
      <c r="V96" s="5">
        <v>104200</v>
      </c>
      <c r="W96" s="5">
        <v>754170</v>
      </c>
      <c r="X96" s="5">
        <v>409520</v>
      </c>
      <c r="Y96" s="5">
        <v>209220</v>
      </c>
      <c r="Z96" s="5">
        <v>624540</v>
      </c>
      <c r="AA96" s="5">
        <v>163200</v>
      </c>
      <c r="AB96" s="5">
        <v>180550</v>
      </c>
      <c r="AC96" s="179">
        <v>206957</v>
      </c>
    </row>
    <row r="97" spans="10:29">
      <c r="J97" s="176" t="s">
        <v>26</v>
      </c>
      <c r="K97" s="177"/>
      <c r="L97" s="6">
        <v>15.064089980884425</v>
      </c>
      <c r="M97" s="6">
        <v>11.698131370901308</v>
      </c>
      <c r="N97" s="6">
        <v>33.327338129496404</v>
      </c>
      <c r="O97" s="6">
        <v>11.384715485626405</v>
      </c>
      <c r="P97" s="6">
        <v>11.002971007068949</v>
      </c>
      <c r="Q97" s="6">
        <v>9.1975409115921192</v>
      </c>
      <c r="R97" s="6">
        <v>9.1035830912499982</v>
      </c>
      <c r="S97" s="6">
        <v>8.6903713469092239</v>
      </c>
      <c r="T97" s="6">
        <v>9.8524998255124121</v>
      </c>
      <c r="U97" s="6">
        <v>11.104701904586578</v>
      </c>
      <c r="V97" s="6">
        <v>6.5190190190190194</v>
      </c>
      <c r="W97" s="6">
        <v>11.999875891334908</v>
      </c>
      <c r="X97" s="6">
        <v>12.384410255665857</v>
      </c>
      <c r="Y97" s="6">
        <v>21.787304589059069</v>
      </c>
      <c r="Z97" s="6">
        <v>16.748639008822977</v>
      </c>
      <c r="AA97" s="6">
        <v>5.4805505938438506</v>
      </c>
      <c r="AB97" s="6">
        <v>8.7818497090145886</v>
      </c>
      <c r="AC97" s="180">
        <v>6.8059020417344387</v>
      </c>
    </row>
    <row r="98" spans="10:29">
      <c r="J98" s="176" t="s">
        <v>27</v>
      </c>
      <c r="K98" s="177"/>
      <c r="L98" s="8">
        <v>277.77999999999997</v>
      </c>
      <c r="M98" s="8">
        <v>4933.87</v>
      </c>
      <c r="N98" s="8">
        <v>4480</v>
      </c>
      <c r="O98" s="8">
        <v>10176.76</v>
      </c>
      <c r="P98" s="8">
        <v>30439.55</v>
      </c>
      <c r="Q98" s="8">
        <v>51615.41</v>
      </c>
      <c r="R98" s="8">
        <v>33290</v>
      </c>
      <c r="S98" s="8">
        <v>111989.49</v>
      </c>
      <c r="T98" s="8">
        <v>5559.9</v>
      </c>
      <c r="U98" s="8">
        <v>7391.65</v>
      </c>
      <c r="V98" s="8">
        <v>51.22</v>
      </c>
      <c r="W98" s="8">
        <v>967.06</v>
      </c>
      <c r="X98" s="8">
        <v>1466.82</v>
      </c>
      <c r="Y98" s="8">
        <v>5007.34</v>
      </c>
      <c r="Z98" s="8">
        <v>348</v>
      </c>
      <c r="AA98" s="8"/>
      <c r="AB98" s="8">
        <v>400</v>
      </c>
      <c r="AC98" s="178">
        <v>583.41</v>
      </c>
    </row>
    <row r="99" spans="10:29">
      <c r="J99" s="176" t="s">
        <v>28</v>
      </c>
      <c r="K99" s="177"/>
      <c r="L99" s="8"/>
      <c r="M99" s="8">
        <v>35948.86</v>
      </c>
      <c r="N99" s="8"/>
      <c r="O99" s="8">
        <v>23001.59</v>
      </c>
      <c r="P99" s="8">
        <v>56825.42</v>
      </c>
      <c r="Q99" s="8">
        <v>95640.77</v>
      </c>
      <c r="R99" s="8">
        <v>25392.47</v>
      </c>
      <c r="S99" s="8">
        <v>109244.03</v>
      </c>
      <c r="T99" s="8">
        <v>20962.09</v>
      </c>
      <c r="U99" s="8">
        <v>95302.04</v>
      </c>
      <c r="V99" s="8"/>
      <c r="W99" s="8">
        <v>520</v>
      </c>
      <c r="X99" s="8"/>
      <c r="Y99" s="8"/>
      <c r="Z99" s="8"/>
      <c r="AA99" s="8"/>
      <c r="AB99" s="8"/>
      <c r="AC99" s="178"/>
    </row>
    <row r="100" spans="10:29" ht="12.75" customHeight="1">
      <c r="J100" s="176" t="s">
        <v>29</v>
      </c>
      <c r="K100" s="177"/>
      <c r="L100" s="8">
        <v>54531.97</v>
      </c>
      <c r="M100" s="8">
        <v>138736.82</v>
      </c>
      <c r="N100" s="8">
        <v>18102</v>
      </c>
      <c r="O100" s="8">
        <v>151520.35</v>
      </c>
      <c r="P100" s="8">
        <v>97025.97</v>
      </c>
      <c r="Q100" s="8">
        <v>796033.18</v>
      </c>
      <c r="R100" s="8">
        <v>503336.51</v>
      </c>
      <c r="S100" s="8">
        <v>406316.52</v>
      </c>
      <c r="T100" s="8">
        <v>69504.990000000005</v>
      </c>
      <c r="U100" s="8">
        <v>402054.72000000003</v>
      </c>
      <c r="V100" s="8">
        <v>16035.22</v>
      </c>
      <c r="W100" s="8">
        <v>64335.21</v>
      </c>
      <c r="X100" s="8">
        <v>34534.199999999997</v>
      </c>
      <c r="Y100" s="8">
        <v>14610.18</v>
      </c>
      <c r="Z100" s="8">
        <v>37637</v>
      </c>
      <c r="AA100" s="8">
        <v>29778.03</v>
      </c>
      <c r="AB100" s="8">
        <v>20959.45</v>
      </c>
      <c r="AC100" s="178">
        <v>30991.87</v>
      </c>
    </row>
    <row r="101" spans="10:29" ht="13.5" customHeight="1">
      <c r="J101" s="176" t="s">
        <v>30</v>
      </c>
      <c r="K101" s="177"/>
      <c r="L101" s="5">
        <v>821474.50291489006</v>
      </c>
      <c r="M101" s="5">
        <v>1622961.5463410881</v>
      </c>
      <c r="N101" s="5">
        <v>603291.47482014389</v>
      </c>
      <c r="O101" s="5">
        <v>1725016.0750325329</v>
      </c>
      <c r="P101" s="5">
        <v>1067573.9348427416</v>
      </c>
      <c r="Q101" s="5">
        <v>7321547.7400347739</v>
      </c>
      <c r="R101" s="5">
        <v>4582165.7416447857</v>
      </c>
      <c r="S101" s="5">
        <v>3531041.4431838687</v>
      </c>
      <c r="T101" s="5">
        <v>684797.90184724203</v>
      </c>
      <c r="U101" s="5">
        <v>4464697.8149320241</v>
      </c>
      <c r="V101" s="5">
        <v>104533.90415415415</v>
      </c>
      <c r="W101" s="5">
        <v>772014.53544296848</v>
      </c>
      <c r="X101" s="5">
        <v>427685.7006512158</v>
      </c>
      <c r="Y101" s="5">
        <v>318316.44176097901</v>
      </c>
      <c r="Z101" s="5">
        <v>630368.52637507033</v>
      </c>
      <c r="AA101" s="5">
        <v>163200</v>
      </c>
      <c r="AB101" s="5">
        <v>184062.73988360583</v>
      </c>
      <c r="AC101" s="179">
        <v>210927.6313101683</v>
      </c>
    </row>
    <row r="102" spans="10:29" ht="13.5" customHeight="1">
      <c r="J102" s="176" t="s">
        <v>31</v>
      </c>
      <c r="K102" s="177"/>
      <c r="L102" s="7">
        <v>2.8098356829760647E-2</v>
      </c>
      <c r="M102" s="7">
        <v>5.5513046951862273E-2</v>
      </c>
      <c r="N102" s="7">
        <v>2.0635453774522378E-2</v>
      </c>
      <c r="O102" s="7">
        <v>5.9003799924827474E-2</v>
      </c>
      <c r="P102" s="7">
        <v>3.6516134410651185E-2</v>
      </c>
      <c r="Q102" s="7">
        <v>0.25043194915440847</v>
      </c>
      <c r="R102" s="7">
        <v>0.15673198328734919</v>
      </c>
      <c r="S102" s="7">
        <v>0.12077850511391076</v>
      </c>
      <c r="T102" s="7">
        <v>2.3423363396062429E-2</v>
      </c>
      <c r="U102" s="7">
        <v>0.15271401838507234</v>
      </c>
      <c r="V102" s="7">
        <v>3.5755594717901281E-3</v>
      </c>
      <c r="W102" s="7">
        <v>2.6406589392204045E-2</v>
      </c>
      <c r="X102" s="7">
        <v>1.4628896435911806E-2</v>
      </c>
      <c r="Y102" s="7">
        <v>1.0887944706308656E-2</v>
      </c>
      <c r="Z102" s="7">
        <v>2.1561618437927609E-2</v>
      </c>
      <c r="AA102" s="7">
        <v>5.582220529481291E-3</v>
      </c>
      <c r="AB102" s="7">
        <v>6.2958260128115149E-3</v>
      </c>
      <c r="AC102" s="181">
        <v>7.2147337851377587E-3</v>
      </c>
    </row>
    <row r="103" spans="10:29" ht="12.75" customHeight="1" thickBot="1">
      <c r="J103" s="182" t="s">
        <v>32</v>
      </c>
      <c r="K103" s="183"/>
      <c r="L103" s="184">
        <v>5.1526392370861807</v>
      </c>
      <c r="M103" s="184">
        <v>4.0013204102459801</v>
      </c>
      <c r="N103" s="184">
        <v>11.399543572269572</v>
      </c>
      <c r="O103" s="184">
        <v>3.8941171878778968</v>
      </c>
      <c r="P103" s="184">
        <v>3.7635423186855217</v>
      </c>
      <c r="Q103" s="184">
        <v>3.1459988785192152</v>
      </c>
      <c r="R103" s="184">
        <v>3.1138608102827505</v>
      </c>
      <c r="S103" s="184">
        <v>2.9725226312213633</v>
      </c>
      <c r="T103" s="184">
        <v>3.3700261515126364</v>
      </c>
      <c r="U103" s="184">
        <v>3.7983391510755631</v>
      </c>
      <c r="V103" s="184">
        <v>2.229816286767583</v>
      </c>
      <c r="W103" s="184">
        <v>4.1045314676370914</v>
      </c>
      <c r="X103" s="184">
        <v>4.2360606111946435</v>
      </c>
      <c r="Y103" s="184">
        <v>7.4523001813178587</v>
      </c>
      <c r="Z103" s="184">
        <v>5.7288355708286023</v>
      </c>
      <c r="AA103" s="184">
        <v>1.8746104189838251</v>
      </c>
      <c r="AB103" s="184">
        <v>3.0038126061568957</v>
      </c>
      <c r="AC103" s="9">
        <v>2.3279440011647439</v>
      </c>
    </row>
    <row r="106" spans="10:29">
      <c r="J106" s="4" t="s">
        <v>24</v>
      </c>
    </row>
    <row r="107" spans="10:29">
      <c r="J107" s="185" t="s">
        <v>178</v>
      </c>
    </row>
    <row r="108" spans="10:29" ht="13" thickBot="1"/>
    <row r="109" spans="10:29">
      <c r="J109" s="15" t="s">
        <v>3</v>
      </c>
      <c r="K109" s="16" t="s">
        <v>18</v>
      </c>
      <c r="L109" s="17">
        <v>0.84689999083245804</v>
      </c>
    </row>
    <row r="110" spans="10:29" ht="13" thickBot="1">
      <c r="J110" s="18" t="s">
        <v>5</v>
      </c>
      <c r="K110" s="19" t="s">
        <v>18</v>
      </c>
      <c r="L110" s="20">
        <f>1-L109</f>
        <v>0.15310000916754196</v>
      </c>
    </row>
    <row r="115" spans="10:19">
      <c r="K115" t="s">
        <v>25</v>
      </c>
      <c r="L115" t="s">
        <v>23</v>
      </c>
      <c r="M115" t="s">
        <v>26</v>
      </c>
      <c r="N115" t="s">
        <v>27</v>
      </c>
      <c r="O115" t="s">
        <v>28</v>
      </c>
      <c r="P115" t="s">
        <v>29</v>
      </c>
      <c r="Q115" t="s">
        <v>30</v>
      </c>
      <c r="R115" t="s">
        <v>31</v>
      </c>
      <c r="S115" t="s">
        <v>32</v>
      </c>
    </row>
    <row r="117" spans="10:19">
      <c r="J117" t="s">
        <v>0</v>
      </c>
      <c r="K117">
        <v>54254.19</v>
      </c>
      <c r="L117">
        <v>817290</v>
      </c>
      <c r="M117">
        <v>15.064089980884425</v>
      </c>
      <c r="N117">
        <v>277.77999999999997</v>
      </c>
      <c r="P117">
        <v>54531.97</v>
      </c>
      <c r="Q117">
        <v>821474.50291489006</v>
      </c>
      <c r="R117">
        <v>2.8098356829760647E-2</v>
      </c>
      <c r="S117">
        <v>5.1526392370861807</v>
      </c>
    </row>
    <row r="118" spans="10:19">
      <c r="J118" t="s">
        <v>1</v>
      </c>
      <c r="K118">
        <v>97854.09</v>
      </c>
      <c r="L118">
        <v>1144710</v>
      </c>
      <c r="M118">
        <v>11.698131370901308</v>
      </c>
      <c r="N118">
        <v>4933.87</v>
      </c>
      <c r="O118">
        <v>35948.86</v>
      </c>
      <c r="P118">
        <v>138736.82</v>
      </c>
      <c r="Q118">
        <v>1622961.5463410881</v>
      </c>
      <c r="R118">
        <v>5.5513046951862273E-2</v>
      </c>
      <c r="S118">
        <v>4.0013204102459801</v>
      </c>
    </row>
    <row r="119" spans="10:19">
      <c r="J119" t="s">
        <v>2</v>
      </c>
      <c r="K119">
        <v>13622</v>
      </c>
      <c r="L119">
        <v>453985</v>
      </c>
      <c r="M119">
        <v>33.327338129496404</v>
      </c>
      <c r="N119">
        <v>4480</v>
      </c>
      <c r="P119">
        <v>18102</v>
      </c>
      <c r="Q119">
        <v>603291.47482014389</v>
      </c>
      <c r="R119">
        <v>2.0635453774522378E-2</v>
      </c>
      <c r="S119">
        <v>11.399543572269572</v>
      </c>
    </row>
    <row r="120" spans="10:19">
      <c r="J120" t="s">
        <v>3</v>
      </c>
      <c r="K120">
        <v>118342</v>
      </c>
      <c r="L120">
        <v>1347290</v>
      </c>
      <c r="M120">
        <v>11.384715485626405</v>
      </c>
      <c r="N120">
        <v>10176.76</v>
      </c>
      <c r="O120">
        <v>23001.59</v>
      </c>
      <c r="P120">
        <v>151520.35</v>
      </c>
      <c r="Q120">
        <v>1725016.0750325329</v>
      </c>
      <c r="R120">
        <v>5.9003799924827474E-2</v>
      </c>
      <c r="S120">
        <v>3.8941171878778968</v>
      </c>
    </row>
    <row r="121" spans="10:19">
      <c r="J121" t="s">
        <v>4</v>
      </c>
      <c r="K121">
        <v>9761</v>
      </c>
      <c r="L121">
        <v>107400</v>
      </c>
      <c r="M121">
        <v>11.002971007068949</v>
      </c>
      <c r="N121">
        <v>30439.55</v>
      </c>
      <c r="O121">
        <v>56825.42</v>
      </c>
      <c r="P121">
        <v>97025.97</v>
      </c>
      <c r="Q121">
        <v>1067573.9348427416</v>
      </c>
      <c r="R121">
        <v>3.6516134410651185E-2</v>
      </c>
      <c r="S121">
        <v>3.7635423186855217</v>
      </c>
    </row>
    <row r="122" spans="10:19">
      <c r="J122" t="s">
        <v>5</v>
      </c>
      <c r="K122">
        <v>648777</v>
      </c>
      <c r="L122">
        <v>5967153</v>
      </c>
      <c r="M122">
        <v>9.1975409115921192</v>
      </c>
      <c r="N122">
        <v>51615.41</v>
      </c>
      <c r="O122">
        <v>95640.77</v>
      </c>
      <c r="P122">
        <v>796033.18</v>
      </c>
      <c r="Q122">
        <v>7321547.7400347739</v>
      </c>
      <c r="R122">
        <v>0.25043194915440847</v>
      </c>
      <c r="S122">
        <v>3.1459988785192152</v>
      </c>
    </row>
    <row r="123" spans="10:19">
      <c r="J123" t="s">
        <v>6</v>
      </c>
      <c r="K123">
        <v>444654.04</v>
      </c>
      <c r="L123">
        <v>4047945</v>
      </c>
      <c r="M123">
        <v>9.1035830912499982</v>
      </c>
      <c r="N123">
        <v>33290</v>
      </c>
      <c r="O123">
        <v>25392.47</v>
      </c>
      <c r="P123">
        <v>503336.51</v>
      </c>
      <c r="Q123">
        <v>4582165.7416447857</v>
      </c>
      <c r="R123">
        <v>0.15673198328734919</v>
      </c>
      <c r="S123">
        <v>3.1138608102827505</v>
      </c>
    </row>
    <row r="124" spans="10:19">
      <c r="J124" t="s">
        <v>7</v>
      </c>
      <c r="K124">
        <v>185083</v>
      </c>
      <c r="L124">
        <v>1608440</v>
      </c>
      <c r="M124">
        <v>8.6903713469092239</v>
      </c>
      <c r="N124">
        <v>111989.49</v>
      </c>
      <c r="O124">
        <v>109244.03</v>
      </c>
      <c r="P124">
        <v>406316.52</v>
      </c>
      <c r="Q124">
        <v>3531041.4431838687</v>
      </c>
      <c r="R124">
        <v>0.12077850511391076</v>
      </c>
      <c r="S124">
        <v>2.9725226312213633</v>
      </c>
    </row>
    <row r="125" spans="10:19">
      <c r="J125" t="s">
        <v>8</v>
      </c>
      <c r="K125">
        <v>42983</v>
      </c>
      <c r="L125">
        <v>423490</v>
      </c>
      <c r="M125">
        <v>9.8524998255124121</v>
      </c>
      <c r="N125">
        <v>5559.9</v>
      </c>
      <c r="O125">
        <v>20962.09</v>
      </c>
      <c r="P125">
        <v>69504.990000000005</v>
      </c>
      <c r="Q125">
        <v>684797.90184724203</v>
      </c>
      <c r="R125">
        <v>2.3423363396062429E-2</v>
      </c>
      <c r="S125">
        <v>3.3700261515126364</v>
      </c>
    </row>
    <row r="126" spans="10:19">
      <c r="J126" t="s">
        <v>9</v>
      </c>
      <c r="K126">
        <v>299361.03000000003</v>
      </c>
      <c r="L126">
        <v>3324315</v>
      </c>
      <c r="M126">
        <v>11.104701904586578</v>
      </c>
      <c r="N126">
        <v>7391.65</v>
      </c>
      <c r="O126">
        <v>95302.04</v>
      </c>
      <c r="P126">
        <v>402054.72000000003</v>
      </c>
      <c r="Q126">
        <v>4464697.8149320241</v>
      </c>
      <c r="R126">
        <v>0.15271401838507234</v>
      </c>
      <c r="S126">
        <v>3.7983391510755631</v>
      </c>
    </row>
    <row r="127" spans="10:19">
      <c r="J127" t="s">
        <v>10</v>
      </c>
      <c r="K127">
        <v>15984</v>
      </c>
      <c r="L127">
        <v>104200</v>
      </c>
      <c r="M127">
        <v>6.5190190190190194</v>
      </c>
      <c r="N127">
        <v>51.22</v>
      </c>
      <c r="P127">
        <v>16035.22</v>
      </c>
      <c r="Q127">
        <v>104533.90415415415</v>
      </c>
      <c r="R127">
        <v>3.5755594717901281E-3</v>
      </c>
      <c r="S127">
        <v>2.229816286767583</v>
      </c>
    </row>
    <row r="128" spans="10:19">
      <c r="J128" t="s">
        <v>11</v>
      </c>
      <c r="K128">
        <v>62848.15</v>
      </c>
      <c r="L128">
        <v>754170</v>
      </c>
      <c r="M128">
        <v>11.999875891334908</v>
      </c>
      <c r="N128">
        <v>967.06</v>
      </c>
      <c r="O128">
        <v>520</v>
      </c>
      <c r="P128">
        <v>64335.21</v>
      </c>
      <c r="Q128">
        <v>772014.53544296848</v>
      </c>
      <c r="R128">
        <v>2.6406589392204045E-2</v>
      </c>
      <c r="S128">
        <v>4.1045314676370914</v>
      </c>
    </row>
    <row r="129" spans="10:19">
      <c r="J129" t="s">
        <v>12</v>
      </c>
      <c r="K129">
        <v>33067.379999999997</v>
      </c>
      <c r="L129">
        <v>409520</v>
      </c>
      <c r="M129">
        <v>12.384410255665857</v>
      </c>
      <c r="N129">
        <v>1466.82</v>
      </c>
      <c r="P129">
        <v>34534.199999999997</v>
      </c>
      <c r="Q129">
        <v>427685.7006512158</v>
      </c>
      <c r="R129">
        <v>1.4628896435911806E-2</v>
      </c>
      <c r="S129">
        <v>4.2360606111946435</v>
      </c>
    </row>
    <row r="130" spans="10:19">
      <c r="J130" t="s">
        <v>13</v>
      </c>
      <c r="K130">
        <v>9602.84</v>
      </c>
      <c r="L130">
        <v>209220</v>
      </c>
      <c r="M130">
        <v>21.787304589059069</v>
      </c>
      <c r="N130">
        <v>5007.34</v>
      </c>
      <c r="P130">
        <v>14610.18</v>
      </c>
      <c r="Q130">
        <v>318316.44176097901</v>
      </c>
      <c r="R130">
        <v>1.0887944706308656E-2</v>
      </c>
      <c r="S130">
        <v>7.4523001813178587</v>
      </c>
    </row>
    <row r="131" spans="10:19">
      <c r="J131" t="s">
        <v>14</v>
      </c>
      <c r="K131">
        <v>37289</v>
      </c>
      <c r="L131">
        <v>624540</v>
      </c>
      <c r="M131">
        <v>16.748639008822977</v>
      </c>
      <c r="N131">
        <v>348</v>
      </c>
      <c r="P131">
        <v>37637</v>
      </c>
      <c r="Q131">
        <v>630368.52637507033</v>
      </c>
      <c r="R131">
        <v>2.1561618437927609E-2</v>
      </c>
      <c r="S131">
        <v>5.7288355708286023</v>
      </c>
    </row>
    <row r="132" spans="10:19">
      <c r="J132" t="s">
        <v>15</v>
      </c>
      <c r="K132">
        <v>29778.03</v>
      </c>
      <c r="L132">
        <v>163200</v>
      </c>
      <c r="M132">
        <v>5.4805505938438506</v>
      </c>
      <c r="P132">
        <v>29778.03</v>
      </c>
      <c r="Q132">
        <v>163200</v>
      </c>
      <c r="R132">
        <v>5.582220529481291E-3</v>
      </c>
      <c r="S132">
        <v>1.8746104189838251</v>
      </c>
    </row>
    <row r="133" spans="10:19">
      <c r="J133" t="s">
        <v>16</v>
      </c>
      <c r="K133">
        <v>20559.45</v>
      </c>
      <c r="L133">
        <v>180550</v>
      </c>
      <c r="M133">
        <v>8.7818497090145886</v>
      </c>
      <c r="N133">
        <v>400</v>
      </c>
      <c r="P133">
        <v>20959.45</v>
      </c>
      <c r="Q133">
        <v>184062.73988360583</v>
      </c>
      <c r="R133">
        <v>6.2958260128115149E-3</v>
      </c>
      <c r="S133">
        <v>3.0038126061568957</v>
      </c>
    </row>
    <row r="134" spans="10:19">
      <c r="J134" t="s">
        <v>17</v>
      </c>
      <c r="K134">
        <v>30408.46</v>
      </c>
      <c r="L134">
        <v>206957</v>
      </c>
      <c r="M134">
        <v>6.8059020417344387</v>
      </c>
      <c r="N134">
        <v>583.41</v>
      </c>
      <c r="P134">
        <v>30991.87</v>
      </c>
      <c r="Q134">
        <v>210927.6313101683</v>
      </c>
      <c r="R134">
        <v>7.2147337851377587E-3</v>
      </c>
      <c r="S134">
        <v>2.3279440011647439</v>
      </c>
    </row>
  </sheetData>
  <sheetProtection password="CFCD" sheet="1" objects="1" scenarios="1"/>
  <mergeCells count="27">
    <mergeCell ref="B24:H26"/>
    <mergeCell ref="B17:H17"/>
    <mergeCell ref="B27:H27"/>
    <mergeCell ref="B55:B56"/>
    <mergeCell ref="B14:H14"/>
    <mergeCell ref="B39:B40"/>
    <mergeCell ref="B31:C32"/>
    <mergeCell ref="D31:D32"/>
    <mergeCell ref="B33:C33"/>
    <mergeCell ref="B34:C34"/>
    <mergeCell ref="B35:C35"/>
    <mergeCell ref="B38:E38"/>
    <mergeCell ref="B18:H20"/>
    <mergeCell ref="B21:H23"/>
    <mergeCell ref="C67:D67"/>
    <mergeCell ref="C55:D56"/>
    <mergeCell ref="C39:G39"/>
    <mergeCell ref="C62:D62"/>
    <mergeCell ref="C63:D63"/>
    <mergeCell ref="C64:D64"/>
    <mergeCell ref="C65:D65"/>
    <mergeCell ref="C66:D66"/>
    <mergeCell ref="C57:D57"/>
    <mergeCell ref="C58:D58"/>
    <mergeCell ref="C59:D59"/>
    <mergeCell ref="C60:D60"/>
    <mergeCell ref="C61:D61"/>
  </mergeCells>
  <pageMargins left="0.75" right="0.75" top="1" bottom="1" header="0.5" footer="0.5"/>
  <pageSetup orientation="portrait" horizontalDpi="4294967292" verticalDpi="4294967292"/>
  <headerFooter alignWithMargins="0"/>
  <ignoredErrors>
    <ignoredError sqref="C3 C6:C12 H41:H50" emptyCellReference="1"/>
  </ignoredErrors>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0"/>
  <sheetViews>
    <sheetView workbookViewId="0">
      <selection activeCell="G39" sqref="G39"/>
    </sheetView>
  </sheetViews>
  <sheetFormatPr baseColWidth="10" defaultColWidth="8.83203125" defaultRowHeight="12" x14ac:dyDescent="0"/>
  <cols>
    <col min="1" max="1" width="25.1640625" style="27" customWidth="1"/>
    <col min="2" max="2" width="23" style="25" customWidth="1"/>
    <col min="3" max="3" width="13.83203125" style="25" customWidth="1"/>
    <col min="4" max="4" width="18.33203125" style="28" customWidth="1"/>
    <col min="5" max="5" width="19.83203125" style="28" customWidth="1"/>
    <col min="6" max="6" width="17.1640625" style="28" customWidth="1"/>
    <col min="7" max="8" width="17.1640625" style="27" customWidth="1"/>
    <col min="9" max="10" width="17.1640625" style="29" customWidth="1"/>
    <col min="11" max="13" width="15.6640625" style="29" customWidth="1"/>
    <col min="14" max="14" width="11.5" style="29" bestFit="1" customWidth="1"/>
    <col min="15" max="15" width="18.33203125" style="29" customWidth="1"/>
    <col min="16" max="256" width="11.5" style="29" customWidth="1"/>
    <col min="257" max="16384" width="8.83203125" style="29"/>
  </cols>
  <sheetData>
    <row r="1" spans="1:15" s="30" customFormat="1" ht="24">
      <c r="A1" s="44" t="s">
        <v>52</v>
      </c>
      <c r="B1" s="324" t="s">
        <v>85</v>
      </c>
      <c r="C1" s="325"/>
      <c r="D1" s="326"/>
      <c r="E1" s="33" t="s">
        <v>92</v>
      </c>
      <c r="F1" s="327" t="s">
        <v>49</v>
      </c>
      <c r="G1" s="325"/>
      <c r="H1" s="325"/>
      <c r="I1" s="325"/>
      <c r="J1" s="326"/>
      <c r="K1" s="328" t="s">
        <v>95</v>
      </c>
      <c r="L1" s="329"/>
      <c r="M1" s="328" t="s">
        <v>37</v>
      </c>
      <c r="N1" s="325"/>
      <c r="O1" s="326"/>
    </row>
    <row r="2" spans="1:15" s="32" customFormat="1" ht="37" thickBot="1">
      <c r="A2" s="45" t="s">
        <v>51</v>
      </c>
      <c r="B2" s="189" t="s">
        <v>86</v>
      </c>
      <c r="C2" s="190" t="s">
        <v>102</v>
      </c>
      <c r="D2" s="35" t="s">
        <v>88</v>
      </c>
      <c r="E2" s="34" t="s">
        <v>93</v>
      </c>
      <c r="F2" s="37" t="s">
        <v>71</v>
      </c>
      <c r="G2" s="38" t="s">
        <v>72</v>
      </c>
      <c r="H2" s="38" t="s">
        <v>73</v>
      </c>
      <c r="I2" s="38" t="s">
        <v>74</v>
      </c>
      <c r="J2" s="39" t="s">
        <v>75</v>
      </c>
      <c r="K2" s="41" t="s">
        <v>101</v>
      </c>
      <c r="L2" s="39" t="s">
        <v>98</v>
      </c>
      <c r="M2" s="41" t="s">
        <v>103</v>
      </c>
      <c r="N2" s="38" t="s">
        <v>43</v>
      </c>
      <c r="O2" s="39" t="s">
        <v>38</v>
      </c>
    </row>
    <row r="3" spans="1:15" s="62" customFormat="1">
      <c r="A3" s="188" t="s">
        <v>33</v>
      </c>
      <c r="B3" s="63">
        <f>'Comparison Table'!D6</f>
        <v>176.15869000000001</v>
      </c>
      <c r="C3" s="65">
        <f>'Comparison Table'!D7</f>
        <v>150</v>
      </c>
      <c r="D3" s="64">
        <f>'Comparison Table'!D8</f>
        <v>988</v>
      </c>
      <c r="E3" s="206">
        <f>SUM('Interactive Price Table'!C4:C5)/2</f>
        <v>545.4545454545455</v>
      </c>
      <c r="F3" s="63">
        <f>'Comparison Table'!D16</f>
        <v>185</v>
      </c>
      <c r="G3" s="65">
        <f>'Comparison Table'!D17</f>
        <v>700</v>
      </c>
      <c r="H3" s="65">
        <f>'Comparison Table'!D18</f>
        <v>565</v>
      </c>
      <c r="I3" s="65">
        <f>'Comparison Table'!D19</f>
        <v>205</v>
      </c>
      <c r="J3" s="64">
        <f>'Comparison Table'!D20</f>
        <v>261</v>
      </c>
      <c r="K3" s="63">
        <v>325</v>
      </c>
      <c r="L3" s="64">
        <v>325</v>
      </c>
      <c r="M3" s="63" t="s">
        <v>39</v>
      </c>
      <c r="N3" s="65" t="s">
        <v>39</v>
      </c>
      <c r="O3" s="64" t="s">
        <v>39</v>
      </c>
    </row>
    <row r="4" spans="1:15" s="32" customFormat="1">
      <c r="A4" s="45" t="s">
        <v>34</v>
      </c>
      <c r="B4" s="37">
        <f>'Comparison Table'!E6</f>
        <v>104.15951780749523</v>
      </c>
      <c r="C4" s="40">
        <f>'Comparison Table'!E7</f>
        <v>143.24535938605467</v>
      </c>
      <c r="D4" s="35">
        <f>'Comparison Table'!E8</f>
        <v>473</v>
      </c>
      <c r="E4" s="34">
        <v>249</v>
      </c>
      <c r="F4" s="37">
        <f>'Comparison Table'!E16</f>
        <v>141</v>
      </c>
      <c r="G4" s="40">
        <f>'Comparison Table'!E17</f>
        <v>336.73469387755108</v>
      </c>
      <c r="H4" s="40">
        <f>'Comparison Table'!E18</f>
        <v>321.11251580278127</v>
      </c>
      <c r="I4" s="40">
        <f>'Comparison Table'!E19</f>
        <v>263</v>
      </c>
      <c r="J4" s="35">
        <f>'Comparison Table'!E20</f>
        <v>261</v>
      </c>
      <c r="K4" s="37">
        <f>(98+126)/2</f>
        <v>112</v>
      </c>
      <c r="L4" s="35">
        <f>(125+198)/2</f>
        <v>161.5</v>
      </c>
      <c r="M4" s="41" t="s">
        <v>39</v>
      </c>
      <c r="N4" s="38" t="s">
        <v>39</v>
      </c>
      <c r="O4" s="39" t="s">
        <v>39</v>
      </c>
    </row>
    <row r="5" spans="1:15" s="31" customFormat="1" ht="28" customHeight="1">
      <c r="A5" s="46" t="s">
        <v>35</v>
      </c>
      <c r="B5" s="37">
        <f>'Comparison Table'!F6</f>
        <v>22935755.260000043</v>
      </c>
      <c r="C5" s="40">
        <f>'Comparison Table'!F7</f>
        <v>26858504.884885252</v>
      </c>
      <c r="D5" s="35">
        <f>'Comparison Table'!F8</f>
        <v>457063836.08225489</v>
      </c>
      <c r="E5" s="34">
        <f>'Comparison Table'!F12</f>
        <v>134952766.5317139</v>
      </c>
      <c r="F5" s="37">
        <f>'Comparison Table'!F16</f>
        <v>26000000</v>
      </c>
      <c r="G5" s="40">
        <f>'Comparison Table'!F17</f>
        <v>235714285.71428573</v>
      </c>
      <c r="H5" s="40">
        <f>'Comparison Table'!F18</f>
        <v>181428571.42857143</v>
      </c>
      <c r="I5" s="40">
        <f>'Comparison Table'!F19</f>
        <v>54000000</v>
      </c>
      <c r="J5" s="35">
        <f>'Comparison Table'!F20</f>
        <v>68000000</v>
      </c>
      <c r="K5" s="37">
        <v>36000000</v>
      </c>
      <c r="L5" s="36">
        <f>(((59275892+43812615)/2))</f>
        <v>51544253.5</v>
      </c>
      <c r="M5" s="41" t="s">
        <v>39</v>
      </c>
      <c r="N5" s="38" t="s">
        <v>39</v>
      </c>
      <c r="O5" s="39" t="s">
        <v>39</v>
      </c>
    </row>
    <row r="6" spans="1:15">
      <c r="A6" s="50" t="s">
        <v>58</v>
      </c>
      <c r="B6" s="162">
        <f>SUM(B7:B24)</f>
        <v>11467877.630000023</v>
      </c>
      <c r="C6" s="22">
        <f>SUM(C7:C24)</f>
        <v>13429252.442442624</v>
      </c>
      <c r="D6" s="36">
        <f>SUM(D7:D24)</f>
        <v>228531918.04112741</v>
      </c>
      <c r="E6" s="207">
        <v>90000000</v>
      </c>
      <c r="F6" s="42">
        <f>F5*0.5</f>
        <v>13000000</v>
      </c>
      <c r="G6" s="43">
        <f>'Comparison Table'!G17</f>
        <v>165000000</v>
      </c>
      <c r="H6" s="43">
        <f>'Comparison Table'!G18</f>
        <v>127000000</v>
      </c>
      <c r="I6" s="43">
        <f>I5*0.5</f>
        <v>27000000</v>
      </c>
      <c r="J6" s="191">
        <f>J5*0.5</f>
        <v>34000000</v>
      </c>
      <c r="K6" s="209">
        <v>18000000</v>
      </c>
      <c r="L6" s="210">
        <f>(((59275892+43812615)/2)*0.75)-4000000</f>
        <v>34658190.125</v>
      </c>
      <c r="M6" s="51">
        <v>36046446.300000004</v>
      </c>
      <c r="N6" s="40">
        <v>140987536.92178655</v>
      </c>
      <c r="O6" s="35">
        <v>111042743.39211768</v>
      </c>
    </row>
    <row r="7" spans="1:15">
      <c r="A7" s="47" t="s">
        <v>0</v>
      </c>
      <c r="B7" s="162">
        <f>(B$5*0.5)*'Interactive Price Table'!$R117</f>
        <v>322228.51772777044</v>
      </c>
      <c r="C7" s="22">
        <f>(C$5*0.5)*'Interactive Price Table'!$R117</f>
        <v>377339.92708468763</v>
      </c>
      <c r="D7" s="36">
        <f>(D$5*0.5)*'Interactive Price Table'!$R117</f>
        <v>6421371.3801092133</v>
      </c>
      <c r="E7" s="207">
        <f>(E$6)*'Interactive Price Table'!$R117</f>
        <v>2528852.1146784583</v>
      </c>
      <c r="F7" s="162">
        <f>(F$5*0.5)*'Interactive Price Table'!$R117</f>
        <v>365278.63878688839</v>
      </c>
      <c r="G7" s="237">
        <f>G$6*'Interactive Price Table'!$R117</f>
        <v>4636228.8769105067</v>
      </c>
      <c r="H7" s="22">
        <f>(H$6)*'Interactive Price Table'!$R117</f>
        <v>3568491.3173796022</v>
      </c>
      <c r="I7" s="22">
        <f>(I$5*0.5)*'Interactive Price Table'!$R117</f>
        <v>758655.63440353749</v>
      </c>
      <c r="J7" s="36">
        <f>(J$5*0.5)*'Interactive Price Table'!$R117</f>
        <v>955344.13221186202</v>
      </c>
      <c r="K7" s="162">
        <f>(K$5*0.5)*'Interactive Price Table'!$R117</f>
        <v>505770.42293569166</v>
      </c>
      <c r="L7" s="36">
        <f>(L$6)*'Interactive Price Table'!$R117</f>
        <v>973838.19320593681</v>
      </c>
      <c r="M7" s="51">
        <v>771003.66</v>
      </c>
      <c r="N7" s="52">
        <v>3961749.7811524952</v>
      </c>
      <c r="O7" s="53">
        <v>3068852.17153345</v>
      </c>
    </row>
    <row r="8" spans="1:15">
      <c r="A8" s="47" t="s">
        <v>1</v>
      </c>
      <c r="B8" s="162">
        <f>(B$5*0.5)*'Interactive Price Table'!$R118</f>
        <v>636616.82931240217</v>
      </c>
      <c r="C8" s="22">
        <f>(C$5*0.5)*'Interactive Price Table'!$R118</f>
        <v>745498.72136572853</v>
      </c>
      <c r="D8" s="36">
        <f>(D$5*0.5)*'Interactive Price Table'!$R118</f>
        <v>12686503.096216248</v>
      </c>
      <c r="E8" s="207">
        <f>(E$6)*'Interactive Price Table'!$R118</f>
        <v>4996174.2256676042</v>
      </c>
      <c r="F8" s="162">
        <f>(F$5*0.5)*'Interactive Price Table'!$R118</f>
        <v>721669.61037420959</v>
      </c>
      <c r="G8" s="237">
        <f>G$6*'Interactive Price Table'!$R118</f>
        <v>9159652.7470572758</v>
      </c>
      <c r="H8" s="22">
        <f>(H$6)*'Interactive Price Table'!$R118</f>
        <v>7050156.9628865086</v>
      </c>
      <c r="I8" s="22">
        <f>(I$5*0.5)*'Interactive Price Table'!$R118</f>
        <v>1498852.2677002815</v>
      </c>
      <c r="J8" s="36">
        <f>(J$5*0.5)*'Interactive Price Table'!$R118</f>
        <v>1887443.5963633172</v>
      </c>
      <c r="K8" s="162">
        <f>(K$5*0.5)*'Interactive Price Table'!$R118</f>
        <v>999234.8451335209</v>
      </c>
      <c r="L8" s="36">
        <f>(L$6)*'Interactive Price Table'!$R118</f>
        <v>1923981.7356756944</v>
      </c>
      <c r="M8" s="51">
        <v>1057665.24</v>
      </c>
      <c r="N8" s="52">
        <v>7824808.3017070759</v>
      </c>
      <c r="O8" s="53">
        <v>5985946.0722026527</v>
      </c>
    </row>
    <row r="9" spans="1:15">
      <c r="A9" s="47" t="s">
        <v>2</v>
      </c>
      <c r="B9" s="162">
        <f>(B$5*0.5)*'Interactive Price Table'!$R119</f>
        <v>236644.85872574468</v>
      </c>
      <c r="C9" s="22">
        <f>(C$5*0.5)*'Interactive Price Table'!$R119</f>
        <v>277118.71800241654</v>
      </c>
      <c r="D9" s="36">
        <f>(D$5*0.5)*'Interactive Price Table'!$R119</f>
        <v>4715859.8307406222</v>
      </c>
      <c r="E9" s="207">
        <f>(E$6)*'Interactive Price Table'!$R119</f>
        <v>1857190.8397070142</v>
      </c>
      <c r="F9" s="162">
        <f>(F$5*0.5)*'Interactive Price Table'!$R119</f>
        <v>268260.8990687909</v>
      </c>
      <c r="G9" s="237">
        <f>G$6*'Interactive Price Table'!$R119</f>
        <v>3404849.8727961923</v>
      </c>
      <c r="H9" s="22">
        <f>(H$6)*'Interactive Price Table'!$R119</f>
        <v>2620702.629364342</v>
      </c>
      <c r="I9" s="22">
        <f>(I$5*0.5)*'Interactive Price Table'!$R119</f>
        <v>557157.2519121042</v>
      </c>
      <c r="J9" s="36">
        <f>(J$5*0.5)*'Interactive Price Table'!$R119</f>
        <v>701605.42833376082</v>
      </c>
      <c r="K9" s="162">
        <f>(K$5*0.5)*'Interactive Price Table'!$R119</f>
        <v>371438.16794140282</v>
      </c>
      <c r="L9" s="36">
        <f>(L$6)*'Interactive Price Table'!$R119</f>
        <v>715187.48023304541</v>
      </c>
      <c r="M9" s="51">
        <v>712607.89000000013</v>
      </c>
      <c r="N9" s="52">
        <v>2904343.2545956764</v>
      </c>
      <c r="O9" s="53">
        <v>2275309.4344834806</v>
      </c>
    </row>
    <row r="10" spans="1:15">
      <c r="A10" s="47" t="s">
        <v>3</v>
      </c>
      <c r="B10" s="162">
        <f>(B$5*0.5)*'Interactive Price Table'!$R120</f>
        <v>676648.35724292591</v>
      </c>
      <c r="C10" s="22">
        <f>(C$5*0.5)*'Interactive Price Table'!$R120</f>
        <v>792376.9242538854</v>
      </c>
      <c r="D10" s="36">
        <f>(D$5*0.5)*'Interactive Price Table'!$R120</f>
        <v>13484251.568535754</v>
      </c>
      <c r="E10" s="207">
        <f>(E$6)*'Interactive Price Table'!$R120</f>
        <v>5310341.9932344723</v>
      </c>
      <c r="F10" s="162">
        <f>(F$5*0.5)*'Interactive Price Table'!$R120</f>
        <v>767049.39902275719</v>
      </c>
      <c r="G10" s="237">
        <f>G$6*'Interactive Price Table'!$R120</f>
        <v>9735626.9875965323</v>
      </c>
      <c r="H10" s="22">
        <f>(H$6)*'Interactive Price Table'!$R120</f>
        <v>7493482.5904530892</v>
      </c>
      <c r="I10" s="22">
        <f>(I$5*0.5)*'Interactive Price Table'!$R120</f>
        <v>1593102.5979703418</v>
      </c>
      <c r="J10" s="36">
        <f>(J$5*0.5)*'Interactive Price Table'!$R120</f>
        <v>2006129.1974441342</v>
      </c>
      <c r="K10" s="162">
        <f>(K$5*0.5)*'Interactive Price Table'!$R120</f>
        <v>1062068.3986468946</v>
      </c>
      <c r="L10" s="36">
        <f>(L$6)*'Interactive Price Table'!$R120</f>
        <v>2044964.9158921314</v>
      </c>
      <c r="M10" s="51">
        <v>2333964.96</v>
      </c>
      <c r="N10" s="52">
        <v>8318264.6824957943</v>
      </c>
      <c r="O10" s="53">
        <v>6631955.4275743226</v>
      </c>
    </row>
    <row r="11" spans="1:15">
      <c r="A11" s="47" t="s">
        <v>4</v>
      </c>
      <c r="B11" s="162">
        <f>(B$5*0.5)*'Interactive Price Table'!$R121</f>
        <v>418762.56094198074</v>
      </c>
      <c r="C11" s="22">
        <f>(C$5*0.5)*'Interactive Price Table'!$R121</f>
        <v>490384.38722280064</v>
      </c>
      <c r="D11" s="36">
        <f>(D$5*0.5)*'Interactive Price Table'!$R121</f>
        <v>8345102.2363137305</v>
      </c>
      <c r="E11" s="207">
        <f>(E$6)*'Interactive Price Table'!$R121</f>
        <v>3286452.0969586065</v>
      </c>
      <c r="F11" s="162">
        <f>(F$5*0.5)*'Interactive Price Table'!$R121</f>
        <v>474709.74733846541</v>
      </c>
      <c r="G11" s="237">
        <f>G$6*'Interactive Price Table'!$R121</f>
        <v>6025162.1777574457</v>
      </c>
      <c r="H11" s="22">
        <f>(H$6)*'Interactive Price Table'!$R121</f>
        <v>4637549.0701527009</v>
      </c>
      <c r="I11" s="22">
        <f>(I$5*0.5)*'Interactive Price Table'!$R121</f>
        <v>985935.629087582</v>
      </c>
      <c r="J11" s="36">
        <f>(J$5*0.5)*'Interactive Price Table'!$R121</f>
        <v>1241548.5699621404</v>
      </c>
      <c r="K11" s="162">
        <f>(K$5*0.5)*'Interactive Price Table'!$R121</f>
        <v>657290.41939172137</v>
      </c>
      <c r="L11" s="36">
        <f>(L$6)*'Interactive Price Table'!$R121</f>
        <v>1265583.1290344037</v>
      </c>
      <c r="M11" s="51">
        <v>1442516.06</v>
      </c>
      <c r="N11" s="52">
        <v>5146045.1028253352</v>
      </c>
      <c r="O11" s="53">
        <v>4038841.3686933257</v>
      </c>
    </row>
    <row r="12" spans="1:15">
      <c r="A12" s="47" t="s">
        <v>5</v>
      </c>
      <c r="B12" s="162">
        <f>(B$5*0.5)*'Interactive Price Table'!$R122</f>
        <v>2871922.9475451438</v>
      </c>
      <c r="C12" s="22">
        <f>(C$5*0.5)*'Interactive Price Table'!$R122</f>
        <v>3363113.8648475073</v>
      </c>
      <c r="D12" s="36">
        <f>(D$5*0.5)*'Interactive Price Table'!$R122</f>
        <v>57231693.679035075</v>
      </c>
      <c r="E12" s="207">
        <f>(E$6)*'Interactive Price Table'!$R122</f>
        <v>22538875.423896763</v>
      </c>
      <c r="F12" s="162">
        <f>(F$5*0.5)*'Interactive Price Table'!$R122</f>
        <v>3255615.3390073101</v>
      </c>
      <c r="G12" s="237">
        <f>G$6*'Interactive Price Table'!$R122</f>
        <v>41321271.610477395</v>
      </c>
      <c r="H12" s="22">
        <f>(H$6)*'Interactive Price Table'!$R122</f>
        <v>31804857.542609878</v>
      </c>
      <c r="I12" s="22">
        <f>(I$5*0.5)*'Interactive Price Table'!$R122</f>
        <v>6761662.6271690289</v>
      </c>
      <c r="J12" s="36">
        <f>(J$5*0.5)*'Interactive Price Table'!$R122</f>
        <v>8514686.2712498885</v>
      </c>
      <c r="K12" s="162">
        <f>(K$5*0.5)*'Interactive Price Table'!$R122</f>
        <v>4507775.0847793529</v>
      </c>
      <c r="L12" s="36">
        <f>(L$6)*'Interactive Price Table'!$R122</f>
        <v>8679518.1071678214</v>
      </c>
      <c r="M12" s="51">
        <v>10719614.129999999</v>
      </c>
      <c r="N12" s="52">
        <v>35317378.005150914</v>
      </c>
      <c r="O12" s="53">
        <v>27977001.710686591</v>
      </c>
    </row>
    <row r="13" spans="1:15">
      <c r="A13" s="47" t="s">
        <v>6</v>
      </c>
      <c r="B13" s="162">
        <f>(B$5*0.5)*'Interactive Price Table'!$R123</f>
        <v>1797383.205046529</v>
      </c>
      <c r="C13" s="22">
        <f>(C$5*0.5)*'Interactive Price Table'!$R123</f>
        <v>2104793.3693705108</v>
      </c>
      <c r="D13" s="36">
        <f>(D$5*0.5)*'Interactive Price Table'!$R123</f>
        <v>35818260.759047844</v>
      </c>
      <c r="E13" s="207">
        <f>(E$6)*'Interactive Price Table'!$R123</f>
        <v>14105878.495861428</v>
      </c>
      <c r="F13" s="162">
        <f>(F$5*0.5)*'Interactive Price Table'!$R123</f>
        <v>2037515.7827355396</v>
      </c>
      <c r="G13" s="237">
        <f>G$6*'Interactive Price Table'!$R123</f>
        <v>25860777.242412616</v>
      </c>
      <c r="H13" s="22">
        <f>(H$6)*'Interactive Price Table'!$R123</f>
        <v>19904961.877493348</v>
      </c>
      <c r="I13" s="22">
        <f>(I$5*0.5)*'Interactive Price Table'!$R123</f>
        <v>4231763.5487584285</v>
      </c>
      <c r="J13" s="36">
        <f>(J$5*0.5)*'Interactive Price Table'!$R123</f>
        <v>5328887.4317698721</v>
      </c>
      <c r="K13" s="162">
        <f>(K$5*0.5)*'Interactive Price Table'!$R123</f>
        <v>2821175.6991722854</v>
      </c>
      <c r="L13" s="36">
        <f>(L$6)*'Interactive Price Table'!$R123</f>
        <v>5432046.8754412709</v>
      </c>
      <c r="M13" s="51">
        <v>5455997.4500000002</v>
      </c>
      <c r="N13" s="52">
        <v>22092747.036319509</v>
      </c>
      <c r="O13" s="53">
        <v>17304904.53503086</v>
      </c>
    </row>
    <row r="14" spans="1:15">
      <c r="A14" s="47" t="s">
        <v>7</v>
      </c>
      <c r="B14" s="162">
        <f>(B$5*0.5)*'Interactive Price Table'!$R124</f>
        <v>1385073.1169806605</v>
      </c>
      <c r="C14" s="22">
        <f>(C$5*0.5)*'Interactive Price Table'!$R124</f>
        <v>1621965.0347955553</v>
      </c>
      <c r="D14" s="36">
        <f>(D$5*0.5)*'Interactive Price Table'!$R124</f>
        <v>27601743.431822147</v>
      </c>
      <c r="E14" s="207">
        <f>(E$6)*'Interactive Price Table'!$R124</f>
        <v>10870065.460251968</v>
      </c>
      <c r="F14" s="162">
        <f>(F$5*0.5)*'Interactive Price Table'!$R124</f>
        <v>1570120.5664808399</v>
      </c>
      <c r="G14" s="237">
        <f>G$6*'Interactive Price Table'!$R124</f>
        <v>19928453.343795277</v>
      </c>
      <c r="H14" s="22">
        <f>(H$6)*'Interactive Price Table'!$R124</f>
        <v>15338870.149466667</v>
      </c>
      <c r="I14" s="22">
        <f>(I$5*0.5)*'Interactive Price Table'!$R124</f>
        <v>3261019.6380755906</v>
      </c>
      <c r="J14" s="36">
        <f>(J$5*0.5)*'Interactive Price Table'!$R124</f>
        <v>4106469.1738729659</v>
      </c>
      <c r="K14" s="162">
        <f>(K$5*0.5)*'Interactive Price Table'!$R124</f>
        <v>2174013.0920503936</v>
      </c>
      <c r="L14" s="36">
        <f>(L$6)*'Interactive Price Table'!$R124</f>
        <v>4185964.3932512039</v>
      </c>
      <c r="M14" s="51">
        <v>5512586.3099999987</v>
      </c>
      <c r="N14" s="52">
        <v>17031294.459249347</v>
      </c>
      <c r="O14" s="53">
        <v>13562492.410501733</v>
      </c>
    </row>
    <row r="15" spans="1:15">
      <c r="A15" s="47" t="s">
        <v>8</v>
      </c>
      <c r="B15" s="162">
        <f>(B$5*0.5)*'Interactive Price Table'!$R125</f>
        <v>268616.26510906563</v>
      </c>
      <c r="C15" s="22">
        <f>(C$5*0.5)*'Interactive Price Table'!$R125</f>
        <v>314558.26009679254</v>
      </c>
      <c r="D15" s="36">
        <f>(D$5*0.5)*'Interactive Price Table'!$R125</f>
        <v>5352986.1638764832</v>
      </c>
      <c r="E15" s="207">
        <f>(E$6)*'Interactive Price Table'!$R125</f>
        <v>2108102.7056456185</v>
      </c>
      <c r="F15" s="162">
        <f>(F$5*0.5)*'Interactive Price Table'!$R125</f>
        <v>304503.7241488116</v>
      </c>
      <c r="G15" s="237">
        <f>G$6*'Interactive Price Table'!$R125</f>
        <v>3864854.9603503007</v>
      </c>
      <c r="H15" s="22">
        <f>(H$6)*'Interactive Price Table'!$R125</f>
        <v>2974767.1512999283</v>
      </c>
      <c r="I15" s="22">
        <f>(I$5*0.5)*'Interactive Price Table'!$R125</f>
        <v>632430.81169368559</v>
      </c>
      <c r="J15" s="36">
        <f>(J$5*0.5)*'Interactive Price Table'!$R125</f>
        <v>796394.35546612262</v>
      </c>
      <c r="K15" s="162">
        <f>(K$5*0.5)*'Interactive Price Table'!$R125</f>
        <v>421620.54112912371</v>
      </c>
      <c r="L15" s="36">
        <f>(L$6)*'Interactive Price Table'!$R125</f>
        <v>811811.38194769737</v>
      </c>
      <c r="M15" s="51">
        <v>1073616.0499999998</v>
      </c>
      <c r="N15" s="52">
        <v>3299108.361819956</v>
      </c>
      <c r="O15" s="53">
        <v>2631142.879985604</v>
      </c>
    </row>
    <row r="16" spans="1:15">
      <c r="A16" s="47" t="s">
        <v>9</v>
      </c>
      <c r="B16" s="162">
        <f>(B$5*0.5)*'Interactive Price Table'!$R126</f>
        <v>1751305.6752255831</v>
      </c>
      <c r="C16" s="22">
        <f>(C$5*0.5)*'Interactive Price Table'!$R126</f>
        <v>2050835.1043929609</v>
      </c>
      <c r="D16" s="36">
        <f>(D$5*0.5)*'Interactive Price Table'!$R126</f>
        <v>34900027.533308581</v>
      </c>
      <c r="E16" s="207">
        <f>(E$6)*'Interactive Price Table'!$R126</f>
        <v>13744261.654656511</v>
      </c>
      <c r="F16" s="162">
        <f>(F$5*0.5)*'Interactive Price Table'!$R126</f>
        <v>1985282.2390059405</v>
      </c>
      <c r="G16" s="237">
        <f>G$6*'Interactive Price Table'!$R126</f>
        <v>25197813.033536937</v>
      </c>
      <c r="H16" s="22">
        <f>(H$6)*'Interactive Price Table'!$R126</f>
        <v>19394680.334904186</v>
      </c>
      <c r="I16" s="22">
        <f>(I$5*0.5)*'Interactive Price Table'!$R126</f>
        <v>4123278.4963969532</v>
      </c>
      <c r="J16" s="36">
        <f>(J$5*0.5)*'Interactive Price Table'!$R126</f>
        <v>5192276.6250924598</v>
      </c>
      <c r="K16" s="162">
        <f>(K$5*0.5)*'Interactive Price Table'!$R126</f>
        <v>2748852.3309313022</v>
      </c>
      <c r="L16" s="36">
        <f>(L$6)*'Interactive Price Table'!$R126</f>
        <v>5292791.4839425823</v>
      </c>
      <c r="M16" s="51">
        <v>5247156.72</v>
      </c>
      <c r="N16" s="52">
        <v>21528796.890551407</v>
      </c>
      <c r="O16" s="53">
        <v>16871400.825123977</v>
      </c>
    </row>
    <row r="17" spans="1:16">
      <c r="A17" s="47" t="s">
        <v>10</v>
      </c>
      <c r="B17" s="162">
        <f>(B$5*0.5)*'Interactive Price Table'!$R127</f>
        <v>41004.078481276701</v>
      </c>
      <c r="C17" s="22">
        <f>(C$5*0.5)*'Interactive Price Table'!$R127</f>
        <v>48017.090769636445</v>
      </c>
      <c r="D17" s="36">
        <f>(D$5*0.5)*'Interactive Price Table'!$R127</f>
        <v>817129.46415831847</v>
      </c>
      <c r="E17" s="207">
        <f>(E$6)*'Interactive Price Table'!$R127</f>
        <v>321800.3524611115</v>
      </c>
      <c r="F17" s="162">
        <f>(F$5*0.5)*'Interactive Price Table'!$R127</f>
        <v>46482.273133271665</v>
      </c>
      <c r="G17" s="237">
        <f>G$6*'Interactive Price Table'!$R127</f>
        <v>589967.31284537108</v>
      </c>
      <c r="H17" s="22">
        <f>(H$6)*'Interactive Price Table'!$R127</f>
        <v>454096.05291734624</v>
      </c>
      <c r="I17" s="22">
        <f>(I$5*0.5)*'Interactive Price Table'!$R127</f>
        <v>96540.105738333456</v>
      </c>
      <c r="J17" s="36">
        <f>(J$5*0.5)*'Interactive Price Table'!$R127</f>
        <v>121569.02204086435</v>
      </c>
      <c r="K17" s="162">
        <f>(K$5*0.5)*'Interactive Price Table'!$R127</f>
        <v>64360.070492222309</v>
      </c>
      <c r="L17" s="36">
        <f>(L$6)*'Interactive Price Table'!$R127</f>
        <v>123922.41997654684</v>
      </c>
      <c r="M17" s="51">
        <v>127951.78</v>
      </c>
      <c r="N17" s="52">
        <v>507555.12859798584</v>
      </c>
      <c r="O17" s="53">
        <v>398102.45036859339</v>
      </c>
    </row>
    <row r="18" spans="1:16">
      <c r="A18" s="47" t="s">
        <v>11</v>
      </c>
      <c r="B18" s="162">
        <f>(B$5*0.5)*'Interactive Price Table'!$R128</f>
        <v>302827.53577545262</v>
      </c>
      <c r="C18" s="22">
        <f>(C$5*0.5)*'Interactive Price Table'!$R128</f>
        <v>354620.75509183569</v>
      </c>
      <c r="D18" s="36">
        <f>(D$5*0.5)*'Interactive Price Table'!$R128</f>
        <v>6034748.5227248799</v>
      </c>
      <c r="E18" s="207">
        <f>(E$6)*'Interactive Price Table'!$R128</f>
        <v>2376593.045298364</v>
      </c>
      <c r="F18" s="162">
        <f>(F$5*0.5)*'Interactive Price Table'!$R128</f>
        <v>343285.66209865257</v>
      </c>
      <c r="G18" s="237">
        <f>G$6*'Interactive Price Table'!$R128</f>
        <v>4357087.2497136677</v>
      </c>
      <c r="H18" s="22">
        <f>(H$6)*'Interactive Price Table'!$R128</f>
        <v>3353636.8528099135</v>
      </c>
      <c r="I18" s="22">
        <f>(I$5*0.5)*'Interactive Price Table'!$R128</f>
        <v>712977.9135895092</v>
      </c>
      <c r="J18" s="36">
        <f>(J$5*0.5)*'Interactive Price Table'!$R128</f>
        <v>897824.03933493746</v>
      </c>
      <c r="K18" s="162">
        <f>(K$5*0.5)*'Interactive Price Table'!$R128</f>
        <v>475318.6090596728</v>
      </c>
      <c r="L18" s="36">
        <f>(L$6)*'Interactive Price Table'!$R128</f>
        <v>915204.59570781596</v>
      </c>
      <c r="M18" s="51">
        <v>1237384.03</v>
      </c>
      <c r="N18" s="52">
        <v>3722070.9776292932</v>
      </c>
      <c r="O18" s="53">
        <v>2973446.158558547</v>
      </c>
    </row>
    <row r="19" spans="1:16">
      <c r="A19" s="47" t="s">
        <v>12</v>
      </c>
      <c r="B19" s="162">
        <f>(B$5*0.5)*'Interactive Price Table'!$R129</f>
        <v>167762.39418898005</v>
      </c>
      <c r="C19" s="22">
        <f>(C$5*0.5)*'Interactive Price Table'!$R129</f>
        <v>196455.14319220884</v>
      </c>
      <c r="D19" s="36">
        <f>(D$5*0.5)*'Interactive Price Table'!$R129</f>
        <v>3343169.7613239381</v>
      </c>
      <c r="E19" s="207">
        <f>(E$6)*'Interactive Price Table'!$R129</f>
        <v>1316600.6792320625</v>
      </c>
      <c r="F19" s="162">
        <f>(F$5*0.5)*'Interactive Price Table'!$R129</f>
        <v>190175.65366685347</v>
      </c>
      <c r="G19" s="237">
        <f>G$6*'Interactive Price Table'!$R129</f>
        <v>2413767.9119254481</v>
      </c>
      <c r="H19" s="22">
        <f>(H$6)*'Interactive Price Table'!$R129</f>
        <v>1857869.8473607993</v>
      </c>
      <c r="I19" s="22">
        <f>(I$5*0.5)*'Interactive Price Table'!$R129</f>
        <v>394980.20376961876</v>
      </c>
      <c r="J19" s="36">
        <f>(J$5*0.5)*'Interactive Price Table'!$R129</f>
        <v>497382.47882100136</v>
      </c>
      <c r="K19" s="162">
        <f>(K$5*0.5)*'Interactive Price Table'!$R129</f>
        <v>263320.13584641251</v>
      </c>
      <c r="L19" s="36">
        <f>(L$6)*'Interactive Price Table'!$R129</f>
        <v>507011.07399476622</v>
      </c>
      <c r="M19" s="51">
        <v>518109.41000000003</v>
      </c>
      <c r="N19" s="52">
        <v>2058418.0359435247</v>
      </c>
      <c r="O19" s="53">
        <v>1615986.713250397</v>
      </c>
    </row>
    <row r="20" spans="1:16">
      <c r="A20" s="47" t="s">
        <v>13</v>
      </c>
      <c r="B20" s="162">
        <f>(B$5*0.5)*'Interactive Price Table'!$R130</f>
        <v>124861.61753415418</v>
      </c>
      <c r="C20" s="22">
        <f>(C$5*0.5)*'Interactive Price Table'!$R130</f>
        <v>146216.95804037579</v>
      </c>
      <c r="D20" s="36">
        <f>(D$5*0.5)*'Interactive Price Table'!$R130</f>
        <v>2488242.887258457</v>
      </c>
      <c r="E20" s="207">
        <f>(E$6)*'Interactive Price Table'!$R130</f>
        <v>979915.02356777899</v>
      </c>
      <c r="F20" s="162">
        <f>(F$5*0.5)*'Interactive Price Table'!$R130</f>
        <v>141543.28118201252</v>
      </c>
      <c r="G20" s="237">
        <f>G$6*'Interactive Price Table'!$R130</f>
        <v>1796510.8765409281</v>
      </c>
      <c r="H20" s="22">
        <f>(H$6)*'Interactive Price Table'!$R130</f>
        <v>1382768.9777011992</v>
      </c>
      <c r="I20" s="22">
        <f>(I$5*0.5)*'Interactive Price Table'!$R130</f>
        <v>293974.5070703337</v>
      </c>
      <c r="J20" s="36">
        <f>(J$5*0.5)*'Interactive Price Table'!$R130</f>
        <v>370190.12001449428</v>
      </c>
      <c r="K20" s="162">
        <f>(K$5*0.5)*'Interactive Price Table'!$R130</f>
        <v>195983.0047135558</v>
      </c>
      <c r="L20" s="36">
        <f>(L$6)*'Interactive Price Table'!$R130</f>
        <v>377356.4577017327</v>
      </c>
      <c r="M20" s="51">
        <v>248899.93</v>
      </c>
      <c r="N20" s="52">
        <v>1536764.1465697484</v>
      </c>
      <c r="O20" s="53">
        <v>1182023.575991031</v>
      </c>
    </row>
    <row r="21" spans="1:16">
      <c r="A21" s="47" t="s">
        <v>14</v>
      </c>
      <c r="B21" s="162">
        <f>(B$5*0.5)*'Interactive Price Table'!$R131</f>
        <v>247266.00175090603</v>
      </c>
      <c r="C21" s="22">
        <f>(C$5*0.5)*'Interactive Price Table'!$R131</f>
        <v>289556.41707055527</v>
      </c>
      <c r="D21" s="36">
        <f>(D$5*0.5)*'Interactive Price Table'!$R131</f>
        <v>4927518.0176905347</v>
      </c>
      <c r="E21" s="207">
        <f>(E$6)*'Interactive Price Table'!$R131</f>
        <v>1940545.6594134849</v>
      </c>
      <c r="F21" s="162">
        <f>(F$5*0.5)*'Interactive Price Table'!$R131</f>
        <v>280301.03969305893</v>
      </c>
      <c r="G21" s="237">
        <f>G$6*'Interactive Price Table'!$R131</f>
        <v>3557667.0422580554</v>
      </c>
      <c r="H21" s="22">
        <f>(H$6)*'Interactive Price Table'!$R131</f>
        <v>2738325.5416168063</v>
      </c>
      <c r="I21" s="22">
        <f>(I$5*0.5)*'Interactive Price Table'!$R131</f>
        <v>582163.69782404543</v>
      </c>
      <c r="J21" s="36">
        <f>(J$5*0.5)*'Interactive Price Table'!$R131</f>
        <v>733095.02688953874</v>
      </c>
      <c r="K21" s="162">
        <f>(K$5*0.5)*'Interactive Price Table'!$R131</f>
        <v>388109.13188269694</v>
      </c>
      <c r="L21" s="36">
        <f>(L$6)*'Interactive Price Table'!$R131</f>
        <v>747286.67122440052</v>
      </c>
      <c r="M21" s="51">
        <v>898015.93</v>
      </c>
      <c r="N21" s="52">
        <v>3045330.797520963</v>
      </c>
      <c r="O21" s="53">
        <v>2416781.2310852497</v>
      </c>
    </row>
    <row r="22" spans="1:16">
      <c r="A22" s="47" t="s">
        <v>15</v>
      </c>
      <c r="B22" s="162">
        <f>(B$5*0.5)*'Interactive Price Table'!$R132</f>
        <v>64016.221935765374</v>
      </c>
      <c r="C22" s="22">
        <f>(C$5*0.5)*'Interactive Price Table'!$R132</f>
        <v>74965.048679789994</v>
      </c>
      <c r="D22" s="36">
        <f>(D$5*0.5)*'Interactive Price Table'!$R132</f>
        <v>1275715.5645309174</v>
      </c>
      <c r="E22" s="207">
        <f>(E$6)*'Interactive Price Table'!$R132</f>
        <v>502399.84765331622</v>
      </c>
      <c r="F22" s="162">
        <f>(F$5*0.5)*'Interactive Price Table'!$R132</f>
        <v>72568.866883256778</v>
      </c>
      <c r="G22" s="237">
        <f>G$6*'Interactive Price Table'!$R132</f>
        <v>921066.38736441301</v>
      </c>
      <c r="H22" s="22">
        <f>(H$6)*'Interactive Price Table'!$R132</f>
        <v>708942.00724412396</v>
      </c>
      <c r="I22" s="22">
        <f>(I$5*0.5)*'Interactive Price Table'!$R132</f>
        <v>150719.95429599486</v>
      </c>
      <c r="J22" s="36">
        <f>(J$5*0.5)*'Interactive Price Table'!$R132</f>
        <v>189795.49800236389</v>
      </c>
      <c r="K22" s="162">
        <f>(K$5*0.5)*'Interactive Price Table'!$R132</f>
        <v>100479.96953066323</v>
      </c>
      <c r="L22" s="36">
        <f>(L$6)*'Interactive Price Table'!$R132</f>
        <v>193469.66043044074</v>
      </c>
      <c r="M22" s="51">
        <v>220123.4</v>
      </c>
      <c r="N22" s="52">
        <v>789530.20148203627</v>
      </c>
      <c r="O22" s="53">
        <v>624160.14504847478</v>
      </c>
    </row>
    <row r="23" spans="1:16">
      <c r="A23" s="47" t="s">
        <v>16</v>
      </c>
      <c r="B23" s="162">
        <f>(B$5*0.5)*'Interactive Price Table'!$R133</f>
        <v>72199.762294693399</v>
      </c>
      <c r="C23" s="22">
        <f>(C$5*0.5)*'Interactive Price Table'!$R133</f>
        <v>84548.236859742858</v>
      </c>
      <c r="D23" s="36">
        <f>(D$5*0.5)*'Interactive Price Table'!$R133</f>
        <v>1438797.1943610392</v>
      </c>
      <c r="E23" s="207">
        <f>(E$6)*'Interactive Price Table'!$R133</f>
        <v>566624.34115303634</v>
      </c>
      <c r="F23" s="162">
        <f>(F$5*0.5)*'Interactive Price Table'!$R133</f>
        <v>81845.738166549694</v>
      </c>
      <c r="G23" s="237">
        <f>G$6*'Interactive Price Table'!$R133</f>
        <v>1038811.2921139</v>
      </c>
      <c r="H23" s="22">
        <f>(H$6)*'Interactive Price Table'!$R133</f>
        <v>799569.90362706245</v>
      </c>
      <c r="I23" s="22">
        <f>(I$5*0.5)*'Interactive Price Table'!$R133</f>
        <v>169987.3023459109</v>
      </c>
      <c r="J23" s="36">
        <f>(J$5*0.5)*'Interactive Price Table'!$R133</f>
        <v>214058.0844355915</v>
      </c>
      <c r="K23" s="162">
        <f>(K$5*0.5)*'Interactive Price Table'!$R133</f>
        <v>113324.86823060727</v>
      </c>
      <c r="L23" s="36">
        <f>(L$6)*'Interactive Price Table'!$R133</f>
        <v>218201.93494594216</v>
      </c>
      <c r="M23" s="51">
        <v>142145.01</v>
      </c>
      <c r="N23" s="52">
        <v>888221.48801299918</v>
      </c>
      <c r="O23" s="53">
        <v>684247.54210205108</v>
      </c>
    </row>
    <row r="24" spans="1:16" ht="13" thickBot="1">
      <c r="A24" s="48" t="s">
        <v>17</v>
      </c>
      <c r="B24" s="163">
        <f>(B$5*0.5)*'Interactive Price Table'!$R134</f>
        <v>82737.684180986689</v>
      </c>
      <c r="C24" s="24">
        <f>(C$5*0.5)*'Interactive Price Table'!$R134</f>
        <v>96888.481305634574</v>
      </c>
      <c r="D24" s="49">
        <f>(D$5*0.5)*'Interactive Price Table'!$R134</f>
        <v>1648796.9500736555</v>
      </c>
      <c r="E24" s="208">
        <f>(E$6)*'Interactive Price Table'!$R134</f>
        <v>649326.04066239833</v>
      </c>
      <c r="F24" s="163">
        <f>(F$5*0.5)*'Interactive Price Table'!$R134</f>
        <v>93791.539206790869</v>
      </c>
      <c r="G24" s="240">
        <f>G$6*'Interactive Price Table'!$R134</f>
        <v>1190431.0745477302</v>
      </c>
      <c r="H24" s="24">
        <f>(H$6)*'Interactive Price Table'!$R134</f>
        <v>916271.19071249536</v>
      </c>
      <c r="I24" s="24">
        <f>(I$5*0.5)*'Interactive Price Table'!$R134</f>
        <v>194797.81219871948</v>
      </c>
      <c r="J24" s="49">
        <f>(J$5*0.5)*'Interactive Price Table'!$R134</f>
        <v>245300.94869468379</v>
      </c>
      <c r="K24" s="163">
        <f>(K$5*0.5)*'Interactive Price Table'!$R134</f>
        <v>129865.20813247966</v>
      </c>
      <c r="L24" s="49">
        <f>(L$6)*'Interactive Price Table'!$R134</f>
        <v>250049.61522656534</v>
      </c>
      <c r="M24" s="54">
        <v>272785.31</v>
      </c>
      <c r="N24" s="55">
        <v>1015110.2701624957</v>
      </c>
      <c r="O24" s="56">
        <v>800148.73989732552</v>
      </c>
    </row>
    <row r="25" spans="1:16">
      <c r="I25" s="239"/>
      <c r="J25" s="239"/>
      <c r="O25" s="52"/>
      <c r="P25" s="13"/>
    </row>
    <row r="27" spans="1:16">
      <c r="G27" s="238"/>
    </row>
    <row r="44" spans="1:15" hidden="1"/>
    <row r="45" spans="1:15" hidden="1"/>
    <row r="46" spans="1:15" hidden="1">
      <c r="A46" s="25" t="str">
        <f>B2</f>
        <v>FY 2013 Receipts</v>
      </c>
      <c r="B46" s="25">
        <v>2</v>
      </c>
      <c r="M46" s="160"/>
    </row>
    <row r="47" spans="1:15" hidden="1">
      <c r="A47" s="25" t="str">
        <f>C2</f>
        <v>10-Year Ave. Receipts (2004 to 2013)</v>
      </c>
      <c r="B47" s="25">
        <v>3</v>
      </c>
      <c r="N47" s="160"/>
    </row>
    <row r="48" spans="1:15" s="160" customFormat="1" hidden="1">
      <c r="A48" s="211" t="str">
        <f>D2</f>
        <v>Historic Receipts (1970 to 1990)</v>
      </c>
      <c r="B48" s="160">
        <v>4</v>
      </c>
      <c r="I48" s="212"/>
      <c r="M48" s="29"/>
      <c r="N48" s="29"/>
      <c r="O48" s="29"/>
    </row>
    <row r="49" spans="1:15" hidden="1">
      <c r="A49" s="28" t="str">
        <f>E2</f>
        <v>DeFazio on DeFazio</v>
      </c>
      <c r="B49" s="25">
        <v>5</v>
      </c>
      <c r="I49" s="88"/>
      <c r="O49" s="160"/>
    </row>
    <row r="50" spans="1:15" hidden="1">
      <c r="A50" s="28" t="str">
        <f>F2</f>
        <v>A: Status Quo, Thin Only</v>
      </c>
      <c r="B50" s="25">
        <v>6</v>
      </c>
      <c r="I50" s="88"/>
    </row>
    <row r="51" spans="1:15" hidden="1">
      <c r="A51" s="27" t="str">
        <f>G2</f>
        <v>B: Management Trust, OFPA</v>
      </c>
      <c r="B51" s="25">
        <v>7</v>
      </c>
      <c r="I51" s="88"/>
    </row>
    <row r="52" spans="1:15" hidden="1">
      <c r="A52" s="27" t="str">
        <f>H2</f>
        <v>C: Management Trust, 20% Riparian</v>
      </c>
      <c r="B52" s="25">
        <v>8</v>
      </c>
      <c r="I52" s="88"/>
    </row>
    <row r="53" spans="1:15" hidden="1">
      <c r="A53" s="29" t="str">
        <f>I2</f>
        <v>D: Critical Habitat &amp; Ecological</v>
      </c>
      <c r="B53" s="25">
        <v>9</v>
      </c>
      <c r="C53" s="29"/>
      <c r="D53" s="29"/>
      <c r="E53" s="29"/>
      <c r="F53" s="29"/>
      <c r="G53" s="29"/>
      <c r="H53" s="29"/>
      <c r="I53" s="88"/>
    </row>
    <row r="54" spans="1:15" hidden="1">
      <c r="A54" s="29" t="str">
        <f>J2</f>
        <v>E: Critical Habitat, NWFP, Ecological</v>
      </c>
      <c r="B54" s="25">
        <v>10</v>
      </c>
      <c r="C54" s="29"/>
      <c r="D54" s="29"/>
      <c r="E54" s="29"/>
      <c r="F54" s="29"/>
      <c r="G54" s="29"/>
      <c r="H54" s="29"/>
      <c r="I54" s="88"/>
    </row>
    <row r="55" spans="1:15" hidden="1">
      <c r="A55" s="29" t="str">
        <f>K2</f>
        <v>O&amp;C Counties on Wyden</v>
      </c>
      <c r="B55" s="25">
        <v>11</v>
      </c>
      <c r="C55" s="29"/>
      <c r="D55" s="29"/>
      <c r="E55" s="29"/>
      <c r="F55" s="29"/>
      <c r="G55" s="29"/>
      <c r="H55" s="29"/>
      <c r="I55" s="88"/>
    </row>
    <row r="56" spans="1:15" hidden="1">
      <c r="A56" s="29" t="str">
        <f>L2</f>
        <v>Headwaters Economics on Wyden</v>
      </c>
      <c r="B56" s="25">
        <v>12</v>
      </c>
      <c r="C56" s="29"/>
      <c r="D56" s="29"/>
      <c r="E56" s="29"/>
      <c r="F56" s="29"/>
      <c r="G56" s="29"/>
      <c r="H56" s="29"/>
      <c r="I56" s="88"/>
    </row>
    <row r="57" spans="1:15" hidden="1">
      <c r="A57" s="29" t="str">
        <f>M2</f>
        <v>FY 2012 SRS</v>
      </c>
      <c r="B57" s="25">
        <v>13</v>
      </c>
      <c r="C57" s="29"/>
      <c r="D57" s="29"/>
      <c r="E57" s="29"/>
      <c r="F57" s="29"/>
      <c r="G57" s="29"/>
      <c r="H57" s="29"/>
      <c r="I57" s="88"/>
    </row>
    <row r="58" spans="1:15" hidden="1">
      <c r="A58" s="27" t="str">
        <f>N2</f>
        <v>SRS High Payment (2001)</v>
      </c>
      <c r="B58" s="25">
        <v>14</v>
      </c>
      <c r="I58" s="88"/>
    </row>
    <row r="59" spans="1:15" hidden="1">
      <c r="A59" s="27" t="str">
        <f>O2</f>
        <v>SRS Average (2001-2012)</v>
      </c>
      <c r="B59" s="25">
        <v>15</v>
      </c>
      <c r="I59" s="88"/>
    </row>
    <row r="60" spans="1:15" hidden="1">
      <c r="I60" s="88"/>
    </row>
    <row r="61" spans="1:15" hidden="1">
      <c r="I61" s="88"/>
    </row>
    <row r="62" spans="1:15">
      <c r="I62" s="88"/>
    </row>
    <row r="106" spans="4:7">
      <c r="D106" s="25"/>
      <c r="G106" s="28"/>
    </row>
    <row r="107" spans="4:7">
      <c r="D107" s="25"/>
      <c r="G107" s="28"/>
    </row>
    <row r="108" spans="4:7">
      <c r="D108" s="25"/>
      <c r="G108" s="28"/>
    </row>
    <row r="109" spans="4:7">
      <c r="D109" s="25"/>
      <c r="G109" s="28"/>
    </row>
    <row r="110" spans="4:7">
      <c r="D110" s="25"/>
      <c r="G110" s="28"/>
    </row>
  </sheetData>
  <mergeCells count="4">
    <mergeCell ref="B1:D1"/>
    <mergeCell ref="F1:J1"/>
    <mergeCell ref="K1:L1"/>
    <mergeCell ref="M1:O1"/>
  </mergeCells>
  <pageMargins left="0.75" right="0.75" top="1" bottom="1" header="0.5" footer="0.5"/>
  <pageSetup orientation="portrait" horizontalDpi="4294967292" verticalDpi="4294967292"/>
  <headerFooter alignWithMargins="0"/>
  <ignoredErrors>
    <ignoredError sqref="G6" formula="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About</vt:lpstr>
      <vt:lpstr>Overview of Policy Options</vt:lpstr>
      <vt:lpstr>Comparison Table</vt:lpstr>
      <vt:lpstr>Interactive Comparison</vt:lpstr>
      <vt:lpstr>Interactive Price Table</vt:lpstr>
      <vt:lpstr>Worksheet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Mark Haggerty</cp:lastModifiedBy>
  <dcterms:created xsi:type="dcterms:W3CDTF">2009-09-16T20:09:40Z</dcterms:created>
  <dcterms:modified xsi:type="dcterms:W3CDTF">2014-01-17T14:22:56Z</dcterms:modified>
</cp:coreProperties>
</file>